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2677b049917023/Jul 26/Finance/"/>
    </mc:Choice>
  </mc:AlternateContent>
  <xr:revisionPtr revIDLastSave="0" documentId="8_{CB61E385-4CEF-B64B-B1FE-8EE92907CE58}" xr6:coauthVersionLast="47" xr6:coauthVersionMax="47" xr10:uidLastSave="{00000000-0000-0000-0000-000000000000}"/>
  <bookViews>
    <workbookView xWindow="840" yWindow="500" windowWidth="27060" windowHeight="14480" xr2:uid="{B6A30E21-C545-1549-8B0F-B00E84F8F3FE}"/>
  </bookViews>
  <sheets>
    <sheet name="Budget" sheetId="1" r:id="rId1"/>
    <sheet name="CIL" sheetId="2" r:id="rId2"/>
    <sheet name="Greenway" sheetId="3" r:id="rId3"/>
    <sheet name="Audit Panel Report" sheetId="5" r:id="rId4"/>
    <sheet name="Visual Summary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6" l="1"/>
  <c r="G13" i="6"/>
  <c r="H13" i="6"/>
  <c r="I13" i="6"/>
  <c r="F14" i="6"/>
  <c r="G14" i="6"/>
  <c r="H14" i="6"/>
  <c r="I14" i="6"/>
  <c r="F15" i="6"/>
  <c r="G15" i="6"/>
  <c r="H15" i="6"/>
  <c r="I15" i="6"/>
  <c r="F16" i="6"/>
  <c r="G16" i="6"/>
  <c r="H16" i="6"/>
  <c r="I16" i="6"/>
  <c r="F17" i="6"/>
  <c r="G17" i="6"/>
  <c r="H17" i="6"/>
  <c r="I17" i="6"/>
  <c r="F18" i="6"/>
  <c r="G18" i="6"/>
  <c r="H18" i="6"/>
  <c r="I18" i="6"/>
  <c r="F19" i="6"/>
  <c r="G19" i="6"/>
  <c r="H19" i="6"/>
  <c r="I19" i="6"/>
  <c r="F5" i="6"/>
  <c r="G5" i="6"/>
  <c r="H5" i="6"/>
  <c r="I5" i="6"/>
  <c r="F6" i="6"/>
  <c r="G6" i="6"/>
  <c r="H6" i="6"/>
  <c r="I6" i="6"/>
  <c r="F7" i="6"/>
  <c r="G7" i="6"/>
  <c r="H7" i="6"/>
  <c r="I7" i="6"/>
  <c r="F8" i="6"/>
  <c r="G8" i="6"/>
  <c r="H8" i="6"/>
  <c r="I8" i="6"/>
  <c r="F9" i="6"/>
  <c r="G9" i="6"/>
  <c r="H9" i="6"/>
  <c r="I9" i="6"/>
  <c r="A12" i="6"/>
  <c r="B12" i="6"/>
  <c r="C12" i="6"/>
  <c r="D12" i="6"/>
  <c r="A13" i="6"/>
  <c r="B13" i="6"/>
  <c r="C13" i="6"/>
  <c r="D13" i="6"/>
  <c r="A14" i="6"/>
  <c r="B14" i="6"/>
  <c r="C14" i="6"/>
  <c r="D14" i="6"/>
  <c r="A15" i="6"/>
  <c r="B15" i="6"/>
  <c r="C15" i="6"/>
  <c r="D15" i="6"/>
  <c r="A16" i="6"/>
  <c r="B16" i="6"/>
  <c r="C16" i="6"/>
  <c r="D16" i="6"/>
  <c r="A17" i="6"/>
  <c r="B17" i="6"/>
  <c r="C17" i="6"/>
  <c r="D17" i="6"/>
  <c r="A18" i="6"/>
  <c r="B18" i="6"/>
  <c r="C18" i="6"/>
  <c r="D18" i="6"/>
  <c r="B5" i="6"/>
  <c r="C5" i="6"/>
  <c r="D5" i="6"/>
  <c r="B6" i="6"/>
  <c r="C6" i="6"/>
  <c r="D6" i="6"/>
  <c r="B7" i="6"/>
  <c r="C7" i="6"/>
  <c r="D7" i="6"/>
  <c r="A5" i="6"/>
  <c r="A6" i="6"/>
  <c r="A7" i="6"/>
  <c r="S22" i="5"/>
  <c r="T22" i="5"/>
  <c r="U22" i="5"/>
  <c r="V22" i="5"/>
  <c r="S23" i="5"/>
  <c r="T23" i="5"/>
  <c r="U23" i="5"/>
  <c r="V23" i="5"/>
  <c r="S24" i="5"/>
  <c r="T24" i="5"/>
  <c r="U24" i="5"/>
  <c r="V24" i="5"/>
  <c r="S25" i="5"/>
  <c r="T25" i="5"/>
  <c r="U25" i="5"/>
  <c r="V25" i="5"/>
  <c r="S26" i="5"/>
  <c r="T26" i="5"/>
  <c r="U26" i="5"/>
  <c r="V26" i="5" s="1"/>
  <c r="S27" i="5"/>
  <c r="T27" i="5"/>
  <c r="U27" i="5"/>
  <c r="V27" i="5"/>
  <c r="S28" i="5"/>
  <c r="T28" i="5"/>
  <c r="U28" i="5"/>
  <c r="V28" i="5"/>
  <c r="S8" i="5"/>
  <c r="T8" i="5"/>
  <c r="S9" i="5"/>
  <c r="T9" i="5"/>
  <c r="S10" i="5"/>
  <c r="T10" i="5"/>
  <c r="S11" i="5"/>
  <c r="T11" i="5"/>
  <c r="S12" i="5"/>
  <c r="T12" i="5"/>
  <c r="S13" i="5"/>
  <c r="T13" i="5"/>
  <c r="S14" i="5"/>
  <c r="T14" i="5"/>
  <c r="S15" i="5"/>
  <c r="T15" i="5"/>
  <c r="S16" i="5"/>
  <c r="T16" i="5"/>
  <c r="S17" i="5"/>
  <c r="T17" i="5"/>
  <c r="S2" i="5"/>
  <c r="T2" i="5"/>
  <c r="U2" i="5"/>
  <c r="S3" i="5"/>
  <c r="T3" i="5"/>
  <c r="U3" i="5"/>
  <c r="S4" i="5"/>
  <c r="T4" i="5"/>
  <c r="U4" i="5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 s="1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E35" i="5" s="1"/>
  <c r="F35" i="5" s="1"/>
  <c r="D35" i="5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B39" i="5"/>
  <c r="C39" i="5"/>
  <c r="D39" i="5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E43" i="5"/>
  <c r="F43" i="5"/>
  <c r="G43" i="5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C46" i="5"/>
  <c r="D46" i="5"/>
  <c r="E46" i="5"/>
  <c r="F46" i="5"/>
  <c r="G46" i="5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C49" i="5"/>
  <c r="D49" i="5"/>
  <c r="E49" i="5"/>
  <c r="F49" i="5" s="1"/>
  <c r="G49" i="5" s="1"/>
  <c r="B50" i="5"/>
  <c r="C50" i="5"/>
  <c r="D50" i="5" s="1"/>
  <c r="G50" i="5" s="1"/>
  <c r="E50" i="5"/>
  <c r="F50" i="5"/>
  <c r="B51" i="5"/>
  <c r="C51" i="5"/>
  <c r="D51" i="5"/>
  <c r="E51" i="5"/>
  <c r="F51" i="5"/>
  <c r="G51" i="5"/>
  <c r="B52" i="5"/>
  <c r="C52" i="5"/>
  <c r="D52" i="5" s="1"/>
  <c r="E52" i="5"/>
  <c r="F52" i="5" s="1"/>
  <c r="G52" i="5"/>
  <c r="B53" i="5"/>
  <c r="C53" i="5"/>
  <c r="D53" i="5"/>
  <c r="E53" i="5"/>
  <c r="F53" i="5"/>
  <c r="G53" i="5"/>
  <c r="B54" i="5"/>
  <c r="C54" i="5"/>
  <c r="D54" i="5"/>
  <c r="E54" i="5"/>
  <c r="F54" i="5" s="1"/>
  <c r="G54" i="5" s="1"/>
  <c r="B55" i="5"/>
  <c r="C55" i="5"/>
  <c r="D55" i="5"/>
  <c r="E55" i="5"/>
  <c r="F55" i="5"/>
  <c r="G55" i="5"/>
  <c r="B22" i="5"/>
  <c r="C22" i="5"/>
  <c r="D22" i="5"/>
  <c r="B23" i="5"/>
  <c r="C23" i="5"/>
  <c r="D23" i="5"/>
  <c r="B24" i="5"/>
  <c r="C24" i="5"/>
  <c r="D24" i="5"/>
  <c r="B25" i="5"/>
  <c r="C25" i="5"/>
  <c r="D25" i="5"/>
  <c r="B26" i="5"/>
  <c r="C26" i="5"/>
  <c r="D26" i="5"/>
  <c r="B13" i="5"/>
  <c r="C13" i="5"/>
  <c r="D13" i="5"/>
  <c r="B14" i="5"/>
  <c r="C14" i="5"/>
  <c r="D14" i="5"/>
  <c r="B15" i="5"/>
  <c r="C15" i="5"/>
  <c r="D15" i="5"/>
  <c r="B16" i="5"/>
  <c r="C16" i="5" s="1"/>
  <c r="D16" i="5"/>
  <c r="B17" i="5"/>
  <c r="C17" i="5"/>
  <c r="D17" i="5"/>
  <c r="B18" i="5"/>
  <c r="C18" i="5" s="1"/>
  <c r="D18" i="5"/>
  <c r="B8" i="5"/>
  <c r="C8" i="5"/>
  <c r="E8" i="5"/>
  <c r="B9" i="5"/>
  <c r="D9" i="5" s="1"/>
  <c r="C9" i="5"/>
  <c r="E9" i="5"/>
  <c r="E10" i="5" s="1"/>
  <c r="C10" i="5"/>
  <c r="B5" i="5"/>
  <c r="B172" i="2"/>
  <c r="F162" i="2"/>
  <c r="D38" i="5" l="1"/>
  <c r="E38" i="5"/>
  <c r="F38" i="5" s="1"/>
  <c r="G32" i="5"/>
  <c r="G35" i="5"/>
  <c r="D8" i="5"/>
  <c r="B10" i="5"/>
  <c r="D10" i="5" s="1"/>
  <c r="C61" i="1"/>
  <c r="C60" i="1"/>
  <c r="F57" i="1"/>
  <c r="C57" i="1"/>
  <c r="G38" i="5" l="1"/>
  <c r="J49" i="1"/>
  <c r="B17" i="2" l="1"/>
  <c r="C49" i="1"/>
  <c r="C18" i="1"/>
  <c r="I15" i="3"/>
  <c r="I13" i="3"/>
  <c r="F130" i="2"/>
  <c r="F42" i="2"/>
  <c r="J18" i="1"/>
  <c r="F105" i="2" l="1"/>
  <c r="F69" i="2"/>
  <c r="F68" i="2"/>
  <c r="B76" i="2"/>
  <c r="B77" i="2" s="1"/>
  <c r="F61" i="2"/>
  <c r="F57" i="2"/>
  <c r="B46" i="2"/>
  <c r="B47" i="2" s="1"/>
  <c r="F37" i="2"/>
  <c r="F26" i="2"/>
  <c r="F23" i="2"/>
  <c r="B175" i="2" l="1"/>
  <c r="D18" i="1" l="1"/>
  <c r="I49" i="1"/>
  <c r="E18" i="1"/>
  <c r="E49" i="1"/>
  <c r="D49" i="1"/>
</calcChain>
</file>

<file path=xl/sharedStrings.xml><?xml version="1.0" encoding="utf-8"?>
<sst xmlns="http://schemas.openxmlformats.org/spreadsheetml/2006/main" count="382" uniqueCount="282">
  <si>
    <t>Current Year</t>
  </si>
  <si>
    <t>Budget</t>
  </si>
  <si>
    <t>Actual</t>
  </si>
  <si>
    <t>Explanations</t>
  </si>
  <si>
    <t>To Date</t>
  </si>
  <si>
    <t>Receipts</t>
  </si>
  <si>
    <t>Precept</t>
  </si>
  <si>
    <t>Council Grant</t>
  </si>
  <si>
    <t>Allotments</t>
  </si>
  <si>
    <t>TOPS</t>
  </si>
  <si>
    <t>Bank Interest D/A</t>
  </si>
  <si>
    <t>Bank Interest CIL</t>
  </si>
  <si>
    <t>Bank Interest WH</t>
  </si>
  <si>
    <t>Donations &amp; Grants</t>
  </si>
  <si>
    <t>S106 monies</t>
  </si>
  <si>
    <t>Miscellaneous</t>
  </si>
  <si>
    <t>Total Income</t>
  </si>
  <si>
    <t>Payments net of VAT</t>
  </si>
  <si>
    <t>Clerk's Expenses</t>
  </si>
  <si>
    <t>Office &amp; Hall Hire</t>
  </si>
  <si>
    <t>Highways &amp; Lengthsman</t>
  </si>
  <si>
    <t>Repairs &amp; Maintenance</t>
  </si>
  <si>
    <t>Amenity</t>
  </si>
  <si>
    <t>Planter &amp; Misc Landscape</t>
  </si>
  <si>
    <t>PROW</t>
  </si>
  <si>
    <t>Playing Field</t>
  </si>
  <si>
    <t>Light Maintenance</t>
  </si>
  <si>
    <t>Light Energy</t>
  </si>
  <si>
    <t>Community Fund</t>
  </si>
  <si>
    <t>HMRC</t>
  </si>
  <si>
    <t>Allotments Awards</t>
  </si>
  <si>
    <t>Warm Hub</t>
  </si>
  <si>
    <t>Christmas Festivities</t>
  </si>
  <si>
    <t>Capital Expenditure</t>
  </si>
  <si>
    <t>Members Expenses</t>
  </si>
  <si>
    <t>Insurance</t>
  </si>
  <si>
    <t>Training</t>
  </si>
  <si>
    <t>Special Projects</t>
  </si>
  <si>
    <t>Totals</t>
  </si>
  <si>
    <t>Tax base analysis</t>
  </si>
  <si>
    <t>Precept Requirement as agreed</t>
  </si>
  <si>
    <t>Precept to request for Stratford District Council</t>
  </si>
  <si>
    <t>Council tax base for Salford Parish</t>
  </si>
  <si>
    <t>Band "D" Council tax for the year</t>
  </si>
  <si>
    <t>Difference year to year Band D</t>
  </si>
  <si>
    <t>Difference per month Band D</t>
  </si>
  <si>
    <t>% increase for next year Band D</t>
  </si>
  <si>
    <t>CIL Monies</t>
  </si>
  <si>
    <t>18/03712/FUL Tothall Farm, Tothall Lane, Salford Priors</t>
  </si>
  <si>
    <t>received Nov 19</t>
  </si>
  <si>
    <t>18/03275/REM Land off School Rd, Salford Priors</t>
  </si>
  <si>
    <t>19/0266/FUL The Old Forge, Station Rd</t>
  </si>
  <si>
    <t>received Mar 20</t>
  </si>
  <si>
    <t>17/02475/FUL land at Evesham Rd</t>
  </si>
  <si>
    <t>18/03276/REM land at School Rd</t>
  </si>
  <si>
    <t>received Nov 21</t>
  </si>
  <si>
    <r>
      <rPr>
        <sz val="12"/>
        <color rgb="FF000000"/>
        <rFont val="Calibri"/>
        <family val="2"/>
        <scheme val="minor"/>
      </rPr>
      <t>20/00652/FUL</t>
    </r>
    <r>
      <rPr>
        <i/>
        <sz val="12"/>
        <color rgb="FF000000"/>
        <rFont val="Calibri"/>
        <family val="2"/>
        <scheme val="minor"/>
      </rPr>
      <t> </t>
    </r>
    <r>
      <rPr>
        <sz val="12"/>
        <color rgb="FF000000"/>
        <rFont val="Calibri"/>
        <family val="2"/>
        <scheme val="minor"/>
      </rPr>
      <t>Pitchill House , Pitchill, Evesham, WR11 8SN</t>
    </r>
  </si>
  <si>
    <t>received Jun 21</t>
  </si>
  <si>
    <t>18/03276/REM  Land off School Road, School Road, Salford Priors</t>
  </si>
  <si>
    <t>received Jun 22</t>
  </si>
  <si>
    <t>22/00231/VARY Heath Cottage, Dunnington, B49 5NW</t>
  </si>
  <si>
    <t>received Nov 22</t>
  </si>
  <si>
    <t>21/03804/COUQ Wood Bevington Farm, Wood Bevington, Alcester
B49 5LX </t>
  </si>
  <si>
    <t>received Jun 23</t>
  </si>
  <si>
    <t>20/00422/COUQ Barn Adjacent To, Dunnington Lodge, Dunnington
Alcester, B49 5NU</t>
  </si>
  <si>
    <t>21/00837/FUL Barn Adjacent to Dunnington Lodge</t>
  </si>
  <si>
    <t>received Nov 23</t>
  </si>
  <si>
    <t>Total CIL Monies</t>
  </si>
  <si>
    <t>Budget for The Greenway</t>
  </si>
  <si>
    <t>Expenditure</t>
  </si>
  <si>
    <t>Wildwood Ecological Survey</t>
  </si>
  <si>
    <t>Total 21/22</t>
  </si>
  <si>
    <t>Permissive Path Agreement</t>
  </si>
  <si>
    <t>Hire of Hall - Mtg</t>
  </si>
  <si>
    <t>Total 22/23</t>
  </si>
  <si>
    <t>Solicitor Charges CIL Agreement Robert Lunn &amp; Lowth</t>
  </si>
  <si>
    <t>Stakes for Greenway</t>
  </si>
  <si>
    <t>Birketts Charges (Carol Ramsden)</t>
  </si>
  <si>
    <t>S38 Agreement</t>
  </si>
  <si>
    <t>PROW Clearance Works</t>
  </si>
  <si>
    <t>Hedgecutting</t>
  </si>
  <si>
    <t>Printing Costs</t>
  </si>
  <si>
    <t>Total 23/24</t>
  </si>
  <si>
    <t>Birketts Charges (Michael Corsham)</t>
  </si>
  <si>
    <t>Total</t>
  </si>
  <si>
    <t>Remaining Budget</t>
  </si>
  <si>
    <t>Budget for Traffic Calming</t>
  </si>
  <si>
    <t>Traffic Calming Measure Fees</t>
  </si>
  <si>
    <t>Total 20/21</t>
  </si>
  <si>
    <t>VAS</t>
  </si>
  <si>
    <t>Speed Watch Signage</t>
  </si>
  <si>
    <t>DTA Traffic Survey Fees</t>
  </si>
  <si>
    <t>DTA Traffic Management Fees</t>
  </si>
  <si>
    <t>20 is plenty signage</t>
  </si>
  <si>
    <t>DTA Road Safety Audit report</t>
  </si>
  <si>
    <t>Fencing at Tothall Lane</t>
  </si>
  <si>
    <t>Feasability Design Study</t>
  </si>
  <si>
    <t>Traffic Calming Scheme Works</t>
  </si>
  <si>
    <t>General CIL Expenditure</t>
  </si>
  <si>
    <t>Remember When Telephone Kiosk - Deposit</t>
  </si>
  <si>
    <t>Cone kit - Dunnington School</t>
  </si>
  <si>
    <t>Parking Buddies - Dunnington School</t>
  </si>
  <si>
    <t>Delivery - Telephone Kiosk</t>
  </si>
  <si>
    <t>Glo Electrics - Electrical Supply</t>
  </si>
  <si>
    <t>Tothall Lane Fence Rail</t>
  </si>
  <si>
    <t>Defib Installation</t>
  </si>
  <si>
    <t>National Grid Electrical Supply</t>
  </si>
  <si>
    <t>AED Responder Kit</t>
  </si>
  <si>
    <t>Cabinet Works</t>
  </si>
  <si>
    <t>Defib &amp; cabinet</t>
  </si>
  <si>
    <t>Concrete Floor - kiosk Abbots Salford</t>
  </si>
  <si>
    <t>Defib Works - Glo Electrics</t>
  </si>
  <si>
    <t>Defib Responder kit</t>
  </si>
  <si>
    <t>St Matthews Church Donation</t>
  </si>
  <si>
    <t>Land &amp; Property Searches</t>
  </si>
  <si>
    <t>Fuse Spur - TOPs</t>
  </si>
  <si>
    <t>Remember When Telephone Kiosk - Final Payment</t>
  </si>
  <si>
    <t>Fire Alarm System</t>
  </si>
  <si>
    <t>Lifevac Wall Mounted kits x 6</t>
  </si>
  <si>
    <t>Coronation benches x 5</t>
  </si>
  <si>
    <t>Aqua Roofing</t>
  </si>
  <si>
    <t>Plaques for coronation benches</t>
  </si>
  <si>
    <t>Memorial Hall Solar Panel Deposit</t>
  </si>
  <si>
    <t>TOPs security light</t>
  </si>
  <si>
    <t>TOPs repair works</t>
  </si>
  <si>
    <t>Village Sign</t>
  </si>
  <si>
    <t>Total 24/25</t>
  </si>
  <si>
    <t>Total Remaining CIL monies</t>
  </si>
  <si>
    <t>Clerk's Salary inc 
pension &amp; HMRC</t>
  </si>
  <si>
    <t>Clerk's Pension - PC</t>
  </si>
  <si>
    <t>Administration/Subs &amp; Fees</t>
  </si>
  <si>
    <t>Ridsdale Close streetlight repair</t>
  </si>
  <si>
    <t>Defib Energy A. Salford</t>
  </si>
  <si>
    <t>NDP</t>
  </si>
  <si>
    <t>Decorative bin to Memorial Garden</t>
  </si>
  <si>
    <t>Bank Interest Greenway</t>
  </si>
  <si>
    <t>Memorial Hall Solar Panel Balance</t>
  </si>
  <si>
    <t>Feasability study School Rd for verges</t>
  </si>
  <si>
    <t>Noticeboard - Rushford</t>
  </si>
  <si>
    <t>Defib Hoop Bar Mount - Rushford</t>
  </si>
  <si>
    <t>Pillar for Defib Electricity</t>
  </si>
  <si>
    <t>New bin - by Willow Park</t>
  </si>
  <si>
    <t>National Grid Electrical Supply - Rushford</t>
  </si>
  <si>
    <t>Defib Cabinet &amp; Defib</t>
  </si>
  <si>
    <t>Installation of 5 x coronation benches</t>
  </si>
  <si>
    <t>Installation of new noticeboard - Rushford</t>
  </si>
  <si>
    <t>Concrete for footings &amp; power supply - Rushford</t>
  </si>
  <si>
    <t>3 x streetlights - School Rd</t>
  </si>
  <si>
    <t>New seating - TOPs</t>
  </si>
  <si>
    <t>CIL Grant Received 10.02.25</t>
  </si>
  <si>
    <t>Stratford District Council CIL Grant Funding for Greenway Project</t>
  </si>
  <si>
    <t>Limebridge Rural Services</t>
  </si>
  <si>
    <t>PROW Clearance &amp; hedge cutting works</t>
  </si>
  <si>
    <t>Supply &amp; erect stockproof fencing AL17</t>
  </si>
  <si>
    <t>Supply &amp; erect square posts with 3 rails &amp; stock
proof netting approx 412m</t>
  </si>
  <si>
    <t>Supply &amp; erect square posts with 3 rails &amp; stock
proof netting approx 320m</t>
  </si>
  <si>
    <t>Erect 2 x metal gates on posts
Supply &amp; erect wooden vehicle access gate
Supply &amp; erect wooden pedestrian access gate
Supply &amp; erect wooden 12ft gate</t>
  </si>
  <si>
    <t>Birketts</t>
  </si>
  <si>
    <t>Professional Charges</t>
  </si>
  <si>
    <t>20.02.25</t>
  </si>
  <si>
    <t>24.02.25</t>
  </si>
  <si>
    <t>03.03.25</t>
  </si>
  <si>
    <t>Remaining Funds</t>
  </si>
  <si>
    <t>VAS Replacement - Evesham/Station Rd</t>
  </si>
  <si>
    <t>Defib Installation - Rushford</t>
  </si>
  <si>
    <t>Post &amp; Rail Fencing Priors Crescent</t>
  </si>
  <si>
    <t>Memorial Hall Toilet Refurbishment Part 1</t>
  </si>
  <si>
    <t>received Jun 25</t>
  </si>
  <si>
    <r>
      <t>24/00703/FUL at Station House,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Broom, B50 4HN</t>
    </r>
  </si>
  <si>
    <t>26/27</t>
  </si>
  <si>
    <t>Projected 
End Year</t>
  </si>
  <si>
    <t>extended to Mar 28 date of extension</t>
  </si>
  <si>
    <t>Light Upgrade - Dunnington Baptist Church Hall</t>
  </si>
  <si>
    <t>Electrical improvement works - Parish Office</t>
  </si>
  <si>
    <t>Covid Commemorative Bench</t>
  </si>
  <si>
    <t>Plaque for Covid Bench</t>
  </si>
  <si>
    <t>Bench installation works</t>
  </si>
  <si>
    <t>Memorial Hall Toilet Refurbishment Part 2</t>
  </si>
  <si>
    <t>Parish Office Painting</t>
  </si>
  <si>
    <t>Paint</t>
  </si>
  <si>
    <t>Audio equipment for Meetings</t>
  </si>
  <si>
    <t>Speaker for audio equipment</t>
  </si>
  <si>
    <t>Lockable cabinet for audio equipment</t>
  </si>
  <si>
    <t>25/26</t>
  </si>
  <si>
    <t>24/03279/VARY at Station House, Broom, B50 4HN</t>
  </si>
  <si>
    <t>Tree socket for community Christmas tree</t>
  </si>
  <si>
    <t>Proposals for School Rd traffic works</t>
  </si>
  <si>
    <t>Estimate for School Rd works</t>
  </si>
  <si>
    <t>Audio Leads</t>
  </si>
  <si>
    <t>Microphones x 3</t>
  </si>
  <si>
    <t>Office Refurb Flooring</t>
  </si>
  <si>
    <t>New community planter</t>
  </si>
  <si>
    <t>Chairman's General Fund</t>
  </si>
  <si>
    <t>BSL</t>
  </si>
  <si>
    <t>2026-27</t>
  </si>
  <si>
    <t>Salford Priors Parish Council Budget 2026-27</t>
  </si>
  <si>
    <t>50% payment of new office door</t>
  </si>
  <si>
    <t>Church Heating Donation</t>
  </si>
  <si>
    <t>Bleed Control Kit</t>
  </si>
  <si>
    <t>Labour - new flooring</t>
  </si>
  <si>
    <t>Wi-Fi Hotspot Device</t>
  </si>
  <si>
    <t>Toddler Play Area Fence Deposit</t>
  </si>
  <si>
    <t>New signage</t>
  </si>
  <si>
    <t>Total 25/26</t>
  </si>
  <si>
    <t>Dunnington Primary School Grant</t>
  </si>
  <si>
    <t>Meeting Room Furniture</t>
  </si>
  <si>
    <t>5 x new noticeboards</t>
  </si>
  <si>
    <t>Installation of 5 x new noticeboards</t>
  </si>
  <si>
    <t>Increased premium</t>
  </si>
  <si>
    <t>Various maintenance works not expected</t>
  </si>
  <si>
    <t>New playing field fence</t>
  </si>
  <si>
    <t>Audit Panel Report – Budget, CIL Trends &amp; Forecasts</t>
  </si>
  <si>
    <t>Salford Priors Parish Council | Budget 2026-27 | Prepared 6 Jul 2026</t>
  </si>
  <si>
    <t>Elapsed months in year</t>
  </si>
  <si>
    <t>Annualisation factor</t>
  </si>
  <si>
    <t>Budget position</t>
  </si>
  <si>
    <t>Actual to date</t>
  </si>
  <si>
    <t>% of budget</t>
  </si>
  <si>
    <t>Straight-line forecast</t>
  </si>
  <si>
    <t>Payments</t>
  </si>
  <si>
    <t>Net surplus/(deficit)</t>
  </si>
  <si>
    <t>Key variance / liquidity view</t>
  </si>
  <si>
    <t>Amount</t>
  </si>
  <si>
    <t>Indicator</t>
  </si>
  <si>
    <t>Reference</t>
  </si>
  <si>
    <t>Audit Panel note</t>
  </si>
  <si>
    <t>Planned full-year surplus</t>
  </si>
  <si>
    <t>Actual surplus to date</t>
  </si>
  <si>
    <t>Payment forecast vs budget</t>
  </si>
  <si>
    <t>Total remaining CIL monies</t>
  </si>
  <si>
    <t>Greenway grant remaining</t>
  </si>
  <si>
    <t>General CIL headroom after ring-fenced allocations</t>
  </si>
  <si>
    <t>Budget sets receipts above payments.</t>
  </si>
  <si>
    <t>Current cash position is strongly positive, helped by receipt timing.</t>
  </si>
  <si>
    <t>Straight-line view is a warning indicator only; review annual/lumpy costs.</t>
  </si>
  <si>
    <t>Remaining CIL balance after recorded expenditure.</t>
  </si>
  <si>
    <t>Separate Greenway grant still has substantial unspent funding.</t>
  </si>
  <si>
    <t>General CIL flexibility is now narrow after major commitments.</t>
  </si>
  <si>
    <t>CIL / grant area</t>
  </si>
  <si>
    <t>Budget or funding</t>
  </si>
  <si>
    <t>Spent / committed</t>
  </si>
  <si>
    <t>Remaining</t>
  </si>
  <si>
    <t>Comment</t>
  </si>
  <si>
    <t>Total CIL monies</t>
  </si>
  <si>
    <t>Greenway CIL allocation</t>
  </si>
  <si>
    <t>Traffic calming allocation</t>
  </si>
  <si>
    <t>General CIL balance</t>
  </si>
  <si>
    <t>Greenway grant funding</t>
  </si>
  <si>
    <t>Total receipts less all recorded CIL expenditure.</t>
  </si>
  <si>
    <t>Greenway allocation remains largely available.</t>
  </si>
  <si>
    <t>Traffic calming allocation has used over half of its budget.</t>
  </si>
  <si>
    <t>General CIL headroom is low and should be protected.</t>
  </si>
  <si>
    <t>External grant funding, separate from CIL monies.</t>
  </si>
  <si>
    <t>Payment line</t>
  </si>
  <si>
    <t>% used</t>
  </si>
  <si>
    <t>Forecast variance</t>
  </si>
  <si>
    <t>Risk status</t>
  </si>
  <si>
    <t>Explanation / note</t>
  </si>
  <si>
    <t>Highways &amp; Lengthsman / Repairs &amp; Maintenance</t>
  </si>
  <si>
    <t>Audit Panel observations</t>
  </si>
  <si>
    <t>Receipts are at roughly half of the annual budget, primarily because the precept is partly received early in the year; income forecasting should therefore use known receipts and budget expectations rather than straight-line alone.</t>
  </si>
  <si>
    <t>Payments are below the annual budget in cash terms, but the straight-line trend is above budget and should be treated as an early warning rather than a final forecast.</t>
  </si>
  <si>
    <t>Light Maintenance and Insurance are already above their full-year budget lines and should remain on the exception log.</t>
  </si>
  <si>
    <t>Several services show nil or low spend at this stage; this may be timing, but the Panel should confirm whether committed orders exist.</t>
  </si>
  <si>
    <t>CIL reserves remain positive, but general unallocated CIL flexibility is narrow after ring-fenced Greenway, traffic calming, and recorded general expenditure.</t>
  </si>
  <si>
    <t>Greenway grant funding remains substantial and should be tracked separately from CIL to avoid masking restricted balances.</t>
  </si>
  <si>
    <t>Metric</t>
  </si>
  <si>
    <t>Financial year</t>
  </si>
  <si>
    <t>Greenway CIL</t>
  </si>
  <si>
    <t>Traffic calming</t>
  </si>
  <si>
    <t>General CIL</t>
  </si>
  <si>
    <t>20/21</t>
  </si>
  <si>
    <t>21/22</t>
  </si>
  <si>
    <t>22/23</t>
  </si>
  <si>
    <t>23/24</t>
  </si>
  <si>
    <t>24/25</t>
  </si>
  <si>
    <t>26/27 to date</t>
  </si>
  <si>
    <t>Visual Summary for Non-Finance Members</t>
  </si>
  <si>
    <t>These charts summarise the main budget, spending risks, and CIL/grant balances using live links to the Audit Panel Report.</t>
  </si>
  <si>
    <t>Spending line</t>
  </si>
  <si>
    <t>Funding</t>
  </si>
  <si>
    <t>Forecast basis: straight-line trend uses actual-to-date divided by elapsed months × 12; irregular annual receipts and payments should be reviewed by the Panel before adopting any formal forecast.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</si>
</sst>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\£#,##0.00;[Red]\-\£#,##0.00"/>
    <numFmt numFmtId="166" formatCode="0.0%"/>
    <numFmt numFmtId="167" formatCode="0.0"/>
    <numFmt numFmtId="168" formatCode="\£#,##0"/>
  </numFmts>
  <fonts count="26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rgb="FF505AE4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rgb="FF505AE4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sz val="12"/>
      <color theme="1"/>
      <name val="Calibri (Body)"/>
    </font>
    <font>
      <b/>
      <sz val="16"/>
      <color rgb="FFFFFFFF"/>
      <name val="Aptos"/>
    </font>
    <font>
      <sz val="12"/>
      <color theme="1"/>
      <name val="Aptos"/>
    </font>
    <font>
      <b/>
      <sz val="12"/>
      <color rgb="FFFFFFFF"/>
      <name val="Aptos"/>
    </font>
    <font>
      <b/>
      <sz val="12"/>
      <color theme="1"/>
      <name val="Aptos"/>
    </font>
    <font>
      <b/>
      <sz val="18"/>
      <color rgb="FFFFFFFF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DFFC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C1FF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D9EAF7"/>
        <bgColor indexed="64"/>
      </patternFill>
    </fill>
    <fill>
      <patternFill patternType="solid">
        <fgColor rgb="FF1F4E78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0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5" fillId="0" borderId="1" xfId="0" applyFont="1" applyBorder="1"/>
    <xf numFmtId="2" fontId="0" fillId="0" borderId="1" xfId="0" applyNumberFormat="1" applyBorder="1"/>
    <xf numFmtId="2" fontId="3" fillId="0" borderId="1" xfId="0" applyNumberFormat="1" applyFont="1" applyBorder="1"/>
    <xf numFmtId="2" fontId="4" fillId="0" borderId="1" xfId="0" applyNumberFormat="1" applyFont="1" applyBorder="1"/>
    <xf numFmtId="2" fontId="1" fillId="0" borderId="1" xfId="0" applyNumberFormat="1" applyFont="1" applyBorder="1"/>
    <xf numFmtId="2" fontId="5" fillId="0" borderId="1" xfId="0" applyNumberFormat="1" applyFont="1" applyBorder="1"/>
    <xf numFmtId="2" fontId="2" fillId="0" borderId="1" xfId="0" applyNumberFormat="1" applyFont="1" applyBorder="1"/>
    <xf numFmtId="2" fontId="8" fillId="0" borderId="1" xfId="0" applyNumberFormat="1" applyFont="1" applyBorder="1"/>
    <xf numFmtId="2" fontId="9" fillId="0" borderId="1" xfId="0" applyNumberFormat="1" applyFont="1" applyBorder="1"/>
    <xf numFmtId="2" fontId="10" fillId="0" borderId="1" xfId="0" applyNumberFormat="1" applyFont="1" applyBorder="1"/>
    <xf numFmtId="2" fontId="3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2" fontId="14" fillId="0" borderId="1" xfId="0" applyNumberFormat="1" applyFont="1" applyBorder="1"/>
    <xf numFmtId="10" fontId="0" fillId="0" borderId="1" xfId="0" applyNumberFormat="1" applyBorder="1" applyAlignment="1">
      <alignment horizontal="right"/>
    </xf>
    <xf numFmtId="10" fontId="0" fillId="0" borderId="1" xfId="0" applyNumberFormat="1" applyBorder="1"/>
    <xf numFmtId="10" fontId="4" fillId="0" borderId="1" xfId="0" applyNumberFormat="1" applyFont="1" applyBorder="1"/>
    <xf numFmtId="10" fontId="1" fillId="0" borderId="1" xfId="0" applyNumberFormat="1" applyFont="1" applyBorder="1" applyAlignment="1">
      <alignment horizontal="right"/>
    </xf>
    <xf numFmtId="4" fontId="0" fillId="0" borderId="0" xfId="0" applyNumberFormat="1"/>
    <xf numFmtId="2" fontId="0" fillId="0" borderId="0" xfId="0" applyNumberFormat="1"/>
    <xf numFmtId="2" fontId="1" fillId="0" borderId="0" xfId="0" applyNumberFormat="1" applyFont="1"/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3" fontId="0" fillId="5" borderId="1" xfId="0" applyNumberFormat="1" applyFill="1" applyBorder="1"/>
    <xf numFmtId="3" fontId="0" fillId="7" borderId="1" xfId="0" applyNumberFormat="1" applyFill="1" applyBorder="1"/>
    <xf numFmtId="0" fontId="0" fillId="5" borderId="1" xfId="0" applyFill="1" applyBorder="1"/>
    <xf numFmtId="164" fontId="0" fillId="7" borderId="1" xfId="0" applyNumberFormat="1" applyFill="1" applyBorder="1"/>
    <xf numFmtId="2" fontId="12" fillId="0" borderId="0" xfId="0" applyNumberFormat="1" applyFont="1"/>
    <xf numFmtId="2" fontId="0" fillId="5" borderId="1" xfId="0" applyNumberFormat="1" applyFill="1" applyBorder="1"/>
    <xf numFmtId="0" fontId="0" fillId="7" borderId="1" xfId="0" applyFill="1" applyBorder="1"/>
    <xf numFmtId="2" fontId="3" fillId="0" borderId="5" xfId="0" applyNumberFormat="1" applyFont="1" applyBorder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vertical="center"/>
    </xf>
    <xf numFmtId="0" fontId="15" fillId="0" borderId="1" xfId="0" applyFont="1" applyBorder="1"/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6" fillId="0" borderId="0" xfId="0" applyFont="1"/>
    <xf numFmtId="4" fontId="0" fillId="0" borderId="0" xfId="0" applyNumberFormat="1" applyAlignment="1">
      <alignment horizontal="center" vertical="center"/>
    </xf>
    <xf numFmtId="0" fontId="17" fillId="0" borderId="0" xfId="0" applyFont="1" applyAlignment="1">
      <alignment wrapText="1"/>
    </xf>
    <xf numFmtId="0" fontId="10" fillId="0" borderId="0" xfId="0" applyFont="1"/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2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4" fontId="2" fillId="0" borderId="0" xfId="0" applyNumberFormat="1" applyFont="1"/>
    <xf numFmtId="0" fontId="0" fillId="0" borderId="21" xfId="0" applyBorder="1"/>
    <xf numFmtId="0" fontId="0" fillId="0" borderId="25" xfId="0" applyBorder="1"/>
    <xf numFmtId="0" fontId="1" fillId="0" borderId="21" xfId="0" applyFont="1" applyBorder="1"/>
    <xf numFmtId="0" fontId="10" fillId="0" borderId="31" xfId="0" applyFont="1" applyBorder="1"/>
    <xf numFmtId="0" fontId="0" fillId="0" borderId="33" xfId="0" applyBorder="1"/>
    <xf numFmtId="0" fontId="18" fillId="0" borderId="28" xfId="0" applyFont="1" applyBorder="1" applyAlignment="1">
      <alignment horizontal="center"/>
    </xf>
    <xf numFmtId="0" fontId="10" fillId="0" borderId="33" xfId="0" applyFont="1" applyBorder="1"/>
    <xf numFmtId="0" fontId="1" fillId="0" borderId="1" xfId="0" applyFont="1" applyBorder="1"/>
    <xf numFmtId="0" fontId="0" fillId="0" borderId="30" xfId="0" applyBorder="1"/>
    <xf numFmtId="0" fontId="19" fillId="0" borderId="1" xfId="0" applyFont="1" applyBorder="1"/>
    <xf numFmtId="0" fontId="0" fillId="0" borderId="1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8" fillId="0" borderId="2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17" fontId="18" fillId="0" borderId="2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4" fillId="0" borderId="1" xfId="0" applyFont="1" applyBorder="1" applyAlignment="1">
      <alignment horizontal="center" wrapText="1"/>
    </xf>
    <xf numFmtId="10" fontId="1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left"/>
    </xf>
    <xf numFmtId="4" fontId="0" fillId="0" borderId="1" xfId="0" applyNumberFormat="1" applyBorder="1"/>
    <xf numFmtId="4" fontId="0" fillId="0" borderId="1" xfId="0" applyNumberFormat="1" applyBorder="1" applyAlignment="1">
      <alignment vertical="center"/>
    </xf>
    <xf numFmtId="0" fontId="1" fillId="0" borderId="0" xfId="0" applyFont="1"/>
    <xf numFmtId="2" fontId="4" fillId="0" borderId="5" xfId="0" applyNumberFormat="1" applyFont="1" applyBorder="1"/>
    <xf numFmtId="2" fontId="0" fillId="7" borderId="1" xfId="0" applyNumberFormat="1" applyFill="1" applyBorder="1"/>
    <xf numFmtId="3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17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21" fillId="0" borderId="0" xfId="0" applyFont="1" applyAlignment="1">
      <alignment vertical="top"/>
    </xf>
    <xf numFmtId="165" fontId="21" fillId="0" borderId="0" xfId="0" applyNumberFormat="1" applyFont="1" applyAlignment="1">
      <alignment vertical="top"/>
    </xf>
    <xf numFmtId="0" fontId="21" fillId="0" borderId="0" xfId="0" applyFont="1" applyAlignment="1">
      <alignment vertical="top" wrapText="1"/>
    </xf>
    <xf numFmtId="0" fontId="22" fillId="10" borderId="12" xfId="0" applyFont="1" applyFill="1" applyBorder="1" applyAlignment="1">
      <alignment vertical="top"/>
    </xf>
    <xf numFmtId="165" fontId="21" fillId="0" borderId="3" xfId="0" applyNumberFormat="1" applyFont="1" applyBorder="1" applyAlignment="1">
      <alignment vertical="top"/>
    </xf>
    <xf numFmtId="165" fontId="21" fillId="0" borderId="9" xfId="0" applyNumberFormat="1" applyFont="1" applyBorder="1" applyAlignment="1">
      <alignment vertical="top"/>
    </xf>
    <xf numFmtId="0" fontId="21" fillId="0" borderId="3" xfId="0" applyFont="1" applyBorder="1" applyAlignment="1">
      <alignment vertical="top" wrapText="1"/>
    </xf>
    <xf numFmtId="0" fontId="21" fillId="0" borderId="9" xfId="0" applyFont="1" applyBorder="1" applyAlignment="1">
      <alignment vertical="top" wrapText="1"/>
    </xf>
    <xf numFmtId="0" fontId="23" fillId="0" borderId="3" xfId="0" applyFont="1" applyBorder="1" applyAlignment="1">
      <alignment vertical="top"/>
    </xf>
    <xf numFmtId="0" fontId="23" fillId="0" borderId="9" xfId="0" applyFont="1" applyBorder="1" applyAlignment="1">
      <alignment vertical="top"/>
    </xf>
    <xf numFmtId="167" fontId="21" fillId="0" borderId="0" xfId="0" applyNumberFormat="1" applyFont="1" applyAlignment="1">
      <alignment horizontal="right" vertical="top"/>
    </xf>
    <xf numFmtId="0" fontId="21" fillId="0" borderId="0" xfId="0" applyFont="1" applyAlignment="1">
      <alignment horizontal="right" vertical="top"/>
    </xf>
    <xf numFmtId="0" fontId="22" fillId="10" borderId="12" xfId="0" applyFont="1" applyFill="1" applyBorder="1" applyAlignment="1">
      <alignment horizontal="right" vertical="top"/>
    </xf>
    <xf numFmtId="165" fontId="21" fillId="0" borderId="3" xfId="0" applyNumberFormat="1" applyFont="1" applyBorder="1" applyAlignment="1">
      <alignment horizontal="right" vertical="top"/>
    </xf>
    <xf numFmtId="166" fontId="21" fillId="0" borderId="3" xfId="0" applyNumberFormat="1" applyFont="1" applyBorder="1" applyAlignment="1">
      <alignment horizontal="right" vertical="top"/>
    </xf>
    <xf numFmtId="165" fontId="21" fillId="0" borderId="9" xfId="0" applyNumberFormat="1" applyFont="1" applyBorder="1" applyAlignment="1">
      <alignment horizontal="right" vertical="top"/>
    </xf>
    <xf numFmtId="166" fontId="21" fillId="0" borderId="9" xfId="0" applyNumberFormat="1" applyFont="1" applyBorder="1" applyAlignment="1">
      <alignment horizontal="right" vertical="top"/>
    </xf>
    <xf numFmtId="0" fontId="21" fillId="0" borderId="3" xfId="0" applyFont="1" applyBorder="1" applyAlignment="1">
      <alignment horizontal="right" vertical="top"/>
    </xf>
    <xf numFmtId="0" fontId="21" fillId="0" borderId="3" xfId="0" applyFont="1" applyBorder="1" applyAlignment="1">
      <alignment horizontal="right" vertical="top" wrapText="1"/>
    </xf>
    <xf numFmtId="0" fontId="21" fillId="0" borderId="9" xfId="0" applyFont="1" applyBorder="1" applyAlignment="1">
      <alignment horizontal="right" vertical="top"/>
    </xf>
    <xf numFmtId="0" fontId="21" fillId="0" borderId="9" xfId="0" applyFont="1" applyBorder="1" applyAlignment="1">
      <alignment horizontal="right" vertical="top" wrapText="1"/>
    </xf>
    <xf numFmtId="0" fontId="21" fillId="0" borderId="0" xfId="0" applyFont="1" applyAlignment="1">
      <alignment horizontal="right" vertical="top" wrapText="1"/>
    </xf>
    <xf numFmtId="0" fontId="22" fillId="10" borderId="12" xfId="0" applyFont="1" applyFill="1" applyBorder="1" applyAlignment="1">
      <alignment horizontal="right" vertical="top" wrapText="1"/>
    </xf>
    <xf numFmtId="0" fontId="0" fillId="0" borderId="0" xfId="0" applyAlignment="1">
      <alignment horizontal="right"/>
    </xf>
    <xf numFmtId="0" fontId="21" fillId="0" borderId="0" xfId="0" applyFont="1" applyAlignment="1">
      <alignment horizontal="left" vertical="top"/>
    </xf>
    <xf numFmtId="0" fontId="22" fillId="10" borderId="12" xfId="0" applyFont="1" applyFill="1" applyBorder="1" applyAlignment="1">
      <alignment horizontal="left" vertical="top"/>
    </xf>
    <xf numFmtId="0" fontId="21" fillId="0" borderId="3" xfId="0" applyFont="1" applyBorder="1" applyAlignment="1">
      <alignment horizontal="left" vertical="top"/>
    </xf>
    <xf numFmtId="0" fontId="21" fillId="0" borderId="9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7" fillId="9" borderId="0" xfId="0" applyFont="1" applyFill="1" applyAlignment="1">
      <alignment horizontal="center"/>
    </xf>
    <xf numFmtId="168" fontId="0" fillId="0" borderId="0" xfId="0" applyNumberFormat="1"/>
    <xf numFmtId="0" fontId="20" fillId="8" borderId="0" xfId="0" applyFont="1" applyFill="1" applyAlignment="1">
      <alignment vertical="top"/>
    </xf>
    <xf numFmtId="0" fontId="21" fillId="9" borderId="0" xfId="0" applyFont="1" applyFill="1" applyAlignment="1">
      <alignment vertical="top"/>
    </xf>
    <xf numFmtId="0" fontId="21" fillId="9" borderId="0" xfId="0" applyFont="1" applyFill="1" applyAlignment="1">
      <alignment vertical="top" wrapText="1"/>
    </xf>
    <xf numFmtId="0" fontId="22" fillId="8" borderId="0" xfId="0" applyFont="1" applyFill="1" applyAlignment="1">
      <alignment vertical="top"/>
    </xf>
    <xf numFmtId="0" fontId="11" fillId="0" borderId="1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wrapText="1"/>
    </xf>
    <xf numFmtId="2" fontId="4" fillId="0" borderId="3" xfId="0" applyNumberFormat="1" applyFont="1" applyBorder="1" applyAlignment="1">
      <alignment wrapText="1"/>
    </xf>
    <xf numFmtId="2" fontId="4" fillId="0" borderId="4" xfId="0" applyNumberFormat="1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4" fillId="0" borderId="2" xfId="0" applyNumberFormat="1" applyFont="1" applyBorder="1"/>
    <xf numFmtId="2" fontId="4" fillId="0" borderId="3" xfId="0" applyNumberFormat="1" applyFont="1" applyBorder="1"/>
    <xf numFmtId="2" fontId="4" fillId="0" borderId="4" xfId="0" applyNumberFormat="1" applyFont="1" applyBorder="1"/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2" fontId="4" fillId="0" borderId="8" xfId="0" applyNumberFormat="1" applyFont="1" applyBorder="1" applyAlignment="1">
      <alignment vertical="center" wrapText="1"/>
    </xf>
    <xf numFmtId="2" fontId="4" fillId="0" borderId="9" xfId="0" applyNumberFormat="1" applyFont="1" applyBorder="1" applyAlignment="1">
      <alignment vertical="center" wrapText="1"/>
    </xf>
    <xf numFmtId="2" fontId="4" fillId="0" borderId="10" xfId="0" applyNumberFormat="1" applyFont="1" applyBorder="1" applyAlignment="1">
      <alignment vertical="center" wrapText="1"/>
    </xf>
    <xf numFmtId="2" fontId="4" fillId="0" borderId="11" xfId="0" applyNumberFormat="1" applyFont="1" applyBorder="1" applyAlignment="1">
      <alignment vertical="center" wrapText="1"/>
    </xf>
    <xf numFmtId="2" fontId="4" fillId="0" borderId="12" xfId="0" applyNumberFormat="1" applyFont="1" applyBorder="1" applyAlignment="1">
      <alignment vertical="center" wrapText="1"/>
    </xf>
    <xf numFmtId="2" fontId="4" fillId="0" borderId="13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4" fillId="0" borderId="2" xfId="0" applyNumberFormat="1" applyFont="1" applyBorder="1" applyAlignment="1">
      <alignment vertical="center" wrapText="1"/>
    </xf>
    <xf numFmtId="2" fontId="4" fillId="0" borderId="3" xfId="0" applyNumberFormat="1" applyFont="1" applyBorder="1" applyAlignment="1">
      <alignment vertical="center" wrapText="1"/>
    </xf>
    <xf numFmtId="2" fontId="4" fillId="0" borderId="4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2" fontId="4" fillId="0" borderId="2" xfId="0" applyNumberFormat="1" applyFont="1" applyBorder="1" applyAlignment="1">
      <alignment vertical="center"/>
    </xf>
    <xf numFmtId="2" fontId="4" fillId="0" borderId="3" xfId="0" applyNumberFormat="1" applyFont="1" applyBorder="1" applyAlignment="1">
      <alignment vertical="center"/>
    </xf>
    <xf numFmtId="2" fontId="4" fillId="0" borderId="4" xfId="0" applyNumberFormat="1" applyFont="1" applyBorder="1" applyAlignment="1">
      <alignment vertical="center"/>
    </xf>
    <xf numFmtId="0" fontId="0" fillId="6" borderId="2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6" borderId="2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4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9" fillId="0" borderId="2" xfId="0" applyNumberFormat="1" applyFont="1" applyBorder="1"/>
    <xf numFmtId="2" fontId="9" fillId="0" borderId="3" xfId="0" applyNumberFormat="1" applyFont="1" applyBorder="1"/>
    <xf numFmtId="2" fontId="9" fillId="0" borderId="4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2" fontId="4" fillId="0" borderId="2" xfId="0" applyNumberFormat="1" applyFont="1" applyBorder="1" applyAlignment="1">
      <alignment vertical="top" wrapText="1"/>
    </xf>
    <xf numFmtId="2" fontId="4" fillId="0" borderId="3" xfId="0" applyNumberFormat="1" applyFont="1" applyBorder="1" applyAlignment="1">
      <alignment vertical="top" wrapText="1"/>
    </xf>
    <xf numFmtId="2" fontId="4" fillId="0" borderId="4" xfId="0" applyNumberFormat="1" applyFont="1" applyBorder="1" applyAlignment="1">
      <alignment vertical="top" wrapText="1"/>
    </xf>
    <xf numFmtId="2" fontId="4" fillId="0" borderId="6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right" vertical="center"/>
    </xf>
    <xf numFmtId="2" fontId="3" fillId="0" borderId="7" xfId="0" applyNumberFormat="1" applyFont="1" applyBorder="1" applyAlignment="1">
      <alignment horizontal="right" vertical="center"/>
    </xf>
    <xf numFmtId="2" fontId="0" fillId="0" borderId="2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7" fontId="0" fillId="0" borderId="2" xfId="0" applyNumberFormat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2" fontId="10" fillId="0" borderId="32" xfId="0" applyNumberFormat="1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2" fontId="10" fillId="0" borderId="19" xfId="0" applyNumberFormat="1" applyFont="1" applyBorder="1" applyAlignment="1">
      <alignment horizontal="center"/>
    </xf>
    <xf numFmtId="17" fontId="0" fillId="0" borderId="19" xfId="0" applyNumberFormat="1" applyBorder="1" applyAlignment="1">
      <alignment horizontal="center"/>
    </xf>
    <xf numFmtId="17" fontId="0" fillId="0" borderId="20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2" fontId="10" fillId="0" borderId="23" xfId="0" applyNumberFormat="1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17" fontId="0" fillId="0" borderId="28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17" fontId="0" fillId="0" borderId="22" xfId="0" applyNumberForma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2" fontId="18" fillId="0" borderId="2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17" fontId="18" fillId="0" borderId="2" xfId="0" applyNumberFormat="1" applyFont="1" applyBorder="1" applyAlignment="1">
      <alignment horizontal="center"/>
    </xf>
    <xf numFmtId="17" fontId="18" fillId="0" borderId="28" xfId="0" applyNumberFormat="1" applyFont="1" applyBorder="1" applyAlignment="1">
      <alignment horizontal="center"/>
    </xf>
    <xf numFmtId="0" fontId="0" fillId="0" borderId="28" xfId="0" applyBorder="1" applyAlignment="1">
      <alignment horizontal="center"/>
    </xf>
    <xf numFmtId="17" fontId="0" fillId="0" borderId="0" xfId="0" applyNumberFormat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17" fontId="4" fillId="0" borderId="2" xfId="0" applyNumberFormat="1" applyFont="1" applyBorder="1" applyAlignment="1">
      <alignment horizontal="center"/>
    </xf>
    <xf numFmtId="17" fontId="4" fillId="0" borderId="28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0" xfId="0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10" fillId="0" borderId="24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0" fillId="0" borderId="9" xfId="0" applyNumberFormat="1" applyBorder="1" applyAlignment="1">
      <alignment horizontal="center"/>
    </xf>
    <xf numFmtId="17" fontId="0" fillId="0" borderId="9" xfId="0" applyNumberForma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/>
    </xf>
    <xf numFmtId="4" fontId="2" fillId="0" borderId="16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0" xfId="0" applyFont="1"/>
    <xf numFmtId="0" fontId="0" fillId="0" borderId="1" xfId="0" applyBorder="1"/>
    <xf numFmtId="0" fontId="24" fillId="10" borderId="0" xfId="0" applyFont="1" applyFill="1"/>
    <xf numFmtId="0" fontId="25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Budget, Actual and Forecast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'Audit Panel Report'!$S$1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'Audit Panel Report'!$R$2:$R$4</c:f>
              <c:strCache>
                <c:ptCount val="3"/>
                <c:pt idx="0">
                  <c:v>Receipts</c:v>
                </c:pt>
                <c:pt idx="1">
                  <c:v>Payments</c:v>
                </c:pt>
                <c:pt idx="2">
                  <c:v>Net surplus/(deficit)</c:v>
                </c:pt>
              </c:strCache>
            </c:strRef>
          </c:cat>
          <c:val>
            <c:numRef>
              <c:f>'Audit Panel Report'!$S$2:$S$4</c:f>
              <c:numCache>
                <c:formatCode>\£#,##0.00;[Red]\-\£#,##0.00</c:formatCode>
                <c:ptCount val="3"/>
                <c:pt idx="0">
                  <c:v>95530</c:v>
                </c:pt>
                <c:pt idx="1">
                  <c:v>90600</c:v>
                </c:pt>
                <c:pt idx="2">
                  <c:v>4930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9-4D04-9021-915E4D40A2B2}"/>
            </c:ext>
          </c:extLst>
        </c:ser>
        <c:ser>
          <c:idx val="1"/>
          <c:order val="1"/>
          <c:tx>
            <c:strRef>
              <c:f>'Audit Panel Report'!$T$1</c:f>
              <c:strCache>
                <c:ptCount val="1"/>
                <c:pt idx="0">
                  <c:v>Actual to date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'Audit Panel Report'!$R$2:$R$4</c:f>
              <c:strCache>
                <c:ptCount val="3"/>
                <c:pt idx="0">
                  <c:v>Receipts</c:v>
                </c:pt>
                <c:pt idx="1">
                  <c:v>Payments</c:v>
                </c:pt>
                <c:pt idx="2">
                  <c:v>Net surplus/(deficit)</c:v>
                </c:pt>
              </c:strCache>
            </c:strRef>
          </c:cat>
          <c:val>
            <c:numRef>
              <c:f>'Audit Panel Report'!$T$2:$T$4</c:f>
              <c:numCache>
                <c:formatCode>\£#,##0.00;[Red]\-\£#,##0.00</c:formatCode>
                <c:ptCount val="3"/>
                <c:pt idx="0">
                  <c:v>45867</c:v>
                </c:pt>
                <c:pt idx="1">
                  <c:v>25334</c:v>
                </c:pt>
                <c:pt idx="2">
                  <c:v>20533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19-4D04-9021-915E4D40A2B2}"/>
            </c:ext>
          </c:extLst>
        </c:ser>
        <c:ser>
          <c:idx val="2"/>
          <c:order val="2"/>
          <c:tx>
            <c:strRef>
              <c:f>'Audit Panel Report'!$U$1</c:f>
              <c:strCache>
                <c:ptCount val="1"/>
                <c:pt idx="0">
                  <c:v>Straight-line forecast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'Audit Panel Report'!$R$2:$R$4</c:f>
              <c:strCache>
                <c:ptCount val="3"/>
                <c:pt idx="0">
                  <c:v>Receipts</c:v>
                </c:pt>
                <c:pt idx="1">
                  <c:v>Payments</c:v>
                </c:pt>
                <c:pt idx="2">
                  <c:v>Net surplus/(deficit)</c:v>
                </c:pt>
              </c:strCache>
            </c:strRef>
          </c:cat>
          <c:val>
            <c:numRef>
              <c:f>'Audit Panel Report'!$U$2:$U$4</c:f>
              <c:numCache>
                <c:formatCode>\£#,##0.00;[Red]\-\£#,##0.00</c:formatCode>
                <c:ptCount val="3"/>
                <c:pt idx="0">
                  <c:v>183468</c:v>
                </c:pt>
                <c:pt idx="1">
                  <c:v>101336</c:v>
                </c:pt>
                <c:pt idx="2">
                  <c:v>82132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19-4D04-9021-915E4D40A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0580032"/>
        <c:axId val="1341491600"/>
      </c:barChart>
      <c:catAx>
        <c:axId val="1380580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Measure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491600"/>
        <c:crosses val="autoZero"/>
        <c:auto val="1"/>
        <c:lblAlgn val="ctr"/>
        <c:lblOffset val="100"/>
        <c:noMultiLvlLbl val="0"/>
      </c:catAx>
      <c:valAx>
        <c:axId val="134149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£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\£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58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Highest Payment Budget Utilisation Lines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'Audit Panel Report'!$S$7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'Audit Panel Report'!$R$8:$R$17</c:f>
              <c:strCache>
                <c:ptCount val="10"/>
                <c:pt idx="0">
                  <c:v>Light Maintenance</c:v>
                </c:pt>
                <c:pt idx="1">
                  <c:v>Insurance</c:v>
                </c:pt>
                <c:pt idx="2">
                  <c:v>Playing Field</c:v>
                </c:pt>
                <c:pt idx="3">
                  <c:v>TOPS</c:v>
                </c:pt>
                <c:pt idx="4">
                  <c:v>Administration/Subs &amp; Fees</c:v>
                </c:pt>
                <c:pt idx="5">
                  <c:v>Warm Hub</c:v>
                </c:pt>
                <c:pt idx="6">
                  <c:v>Planter &amp; Misc Landscape</c:v>
                </c:pt>
                <c:pt idx="7">
                  <c:v>Allotments</c:v>
                </c:pt>
                <c:pt idx="8">
                  <c:v>Amenity</c:v>
                </c:pt>
                <c:pt idx="9">
                  <c:v>Office &amp; Hall Hire</c:v>
                </c:pt>
              </c:strCache>
            </c:strRef>
          </c:cat>
          <c:val>
            <c:numRef>
              <c:f>'Audit Panel Report'!$S$8:$S$17</c:f>
              <c:numCache>
                <c:formatCode>\£#,##0.00;[Red]\-\£#,##0.00</c:formatCode>
                <c:ptCount val="10"/>
                <c:pt idx="0">
                  <c:v>150</c:v>
                </c:pt>
                <c:pt idx="1">
                  <c:v>1750</c:v>
                </c:pt>
                <c:pt idx="2">
                  <c:v>4000</c:v>
                </c:pt>
                <c:pt idx="3">
                  <c:v>1600</c:v>
                </c:pt>
                <c:pt idx="4">
                  <c:v>6000</c:v>
                </c:pt>
                <c:pt idx="5">
                  <c:v>4000</c:v>
                </c:pt>
                <c:pt idx="6">
                  <c:v>9000</c:v>
                </c:pt>
                <c:pt idx="7">
                  <c:v>800</c:v>
                </c:pt>
                <c:pt idx="8">
                  <c:v>11000</c:v>
                </c:pt>
                <c:pt idx="9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4-4258-B3B1-319D365515B9}"/>
            </c:ext>
          </c:extLst>
        </c:ser>
        <c:ser>
          <c:idx val="1"/>
          <c:order val="1"/>
          <c:tx>
            <c:strRef>
              <c:f>'Audit Panel Report'!$T$7</c:f>
              <c:strCache>
                <c:ptCount val="1"/>
                <c:pt idx="0">
                  <c:v>Actual to date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'Audit Panel Report'!$R$8:$R$17</c:f>
              <c:strCache>
                <c:ptCount val="10"/>
                <c:pt idx="0">
                  <c:v>Light Maintenance</c:v>
                </c:pt>
                <c:pt idx="1">
                  <c:v>Insurance</c:v>
                </c:pt>
                <c:pt idx="2">
                  <c:v>Playing Field</c:v>
                </c:pt>
                <c:pt idx="3">
                  <c:v>TOPS</c:v>
                </c:pt>
                <c:pt idx="4">
                  <c:v>Administration/Subs &amp; Fees</c:v>
                </c:pt>
                <c:pt idx="5">
                  <c:v>Warm Hub</c:v>
                </c:pt>
                <c:pt idx="6">
                  <c:v>Planter &amp; Misc Landscape</c:v>
                </c:pt>
                <c:pt idx="7">
                  <c:v>Allotments</c:v>
                </c:pt>
                <c:pt idx="8">
                  <c:v>Amenity</c:v>
                </c:pt>
                <c:pt idx="9">
                  <c:v>Office &amp; Hall Hire</c:v>
                </c:pt>
              </c:strCache>
            </c:strRef>
          </c:cat>
          <c:val>
            <c:numRef>
              <c:f>'Audit Panel Report'!$T$8:$T$17</c:f>
              <c:numCache>
                <c:formatCode>\£#,##0.00;[Red]\-\£#,##0.00</c:formatCode>
                <c:ptCount val="10"/>
                <c:pt idx="0">
                  <c:v>873</c:v>
                </c:pt>
                <c:pt idx="1">
                  <c:v>1896</c:v>
                </c:pt>
                <c:pt idx="2">
                  <c:v>2848</c:v>
                </c:pt>
                <c:pt idx="3">
                  <c:v>868</c:v>
                </c:pt>
                <c:pt idx="4">
                  <c:v>2606</c:v>
                </c:pt>
                <c:pt idx="5">
                  <c:v>1663</c:v>
                </c:pt>
                <c:pt idx="6">
                  <c:v>3520</c:v>
                </c:pt>
                <c:pt idx="7">
                  <c:v>302</c:v>
                </c:pt>
                <c:pt idx="8">
                  <c:v>3637</c:v>
                </c:pt>
                <c:pt idx="9">
                  <c:v>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C4-4258-B3B1-319D36551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80593024"/>
        <c:axId val="1375945680"/>
      </c:barChart>
      <c:catAx>
        <c:axId val="1380593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5945680"/>
        <c:crosses val="autoZero"/>
        <c:auto val="1"/>
        <c:lblAlgn val="ctr"/>
        <c:lblOffset val="100"/>
        <c:noMultiLvlLbl val="0"/>
      </c:catAx>
      <c:valAx>
        <c:axId val="1375945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£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\£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593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CIL Expenditure Trend by Financial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'Audit Panel Report'!$S$21</c:f>
              <c:strCache>
                <c:ptCount val="1"/>
                <c:pt idx="0">
                  <c:v>Greenway CIL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'Audit Panel Report'!$R$22:$R$28</c:f>
              <c:strCache>
                <c:ptCount val="7"/>
                <c:pt idx="0">
                  <c:v>20/21</c:v>
                </c:pt>
                <c:pt idx="1">
                  <c:v>21/22</c:v>
                </c:pt>
                <c:pt idx="2">
                  <c:v>22/23</c:v>
                </c:pt>
                <c:pt idx="3">
                  <c:v>23/24</c:v>
                </c:pt>
                <c:pt idx="4">
                  <c:v>24/25</c:v>
                </c:pt>
                <c:pt idx="5">
                  <c:v>25/26</c:v>
                </c:pt>
                <c:pt idx="6">
                  <c:v>26/27 to date</c:v>
                </c:pt>
              </c:strCache>
            </c:strRef>
          </c:cat>
          <c:val>
            <c:numRef>
              <c:f>'Audit Panel Report'!$S$22:$S$28</c:f>
              <c:numCache>
                <c:formatCode>\£#,##0.00;[Red]\-\£#,##0.00</c:formatCode>
                <c:ptCount val="7"/>
                <c:pt idx="0">
                  <c:v>0</c:v>
                </c:pt>
                <c:pt idx="1">
                  <c:v>1048</c:v>
                </c:pt>
                <c:pt idx="2">
                  <c:v>3170</c:v>
                </c:pt>
                <c:pt idx="3">
                  <c:v>12106.5</c:v>
                </c:pt>
                <c:pt idx="4">
                  <c:v>8094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1-4860-8DAA-4D96EBBB00DC}"/>
            </c:ext>
          </c:extLst>
        </c:ser>
        <c:ser>
          <c:idx val="1"/>
          <c:order val="1"/>
          <c:tx>
            <c:strRef>
              <c:f>'Audit Panel Report'!$T$21</c:f>
              <c:strCache>
                <c:ptCount val="1"/>
                <c:pt idx="0">
                  <c:v>Traffic calming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'Audit Panel Report'!$R$22:$R$28</c:f>
              <c:strCache>
                <c:ptCount val="7"/>
                <c:pt idx="0">
                  <c:v>20/21</c:v>
                </c:pt>
                <c:pt idx="1">
                  <c:v>21/22</c:v>
                </c:pt>
                <c:pt idx="2">
                  <c:v>22/23</c:v>
                </c:pt>
                <c:pt idx="3">
                  <c:v>23/24</c:v>
                </c:pt>
                <c:pt idx="4">
                  <c:v>24/25</c:v>
                </c:pt>
                <c:pt idx="5">
                  <c:v>25/26</c:v>
                </c:pt>
                <c:pt idx="6">
                  <c:v>26/27 to date</c:v>
                </c:pt>
              </c:strCache>
            </c:strRef>
          </c:cat>
          <c:val>
            <c:numRef>
              <c:f>'Audit Panel Report'!$T$22:$T$28</c:f>
              <c:numCache>
                <c:formatCode>\£#,##0.00;[Red]\-\£#,##0.00</c:formatCode>
                <c:ptCount val="7"/>
                <c:pt idx="0">
                  <c:v>1200</c:v>
                </c:pt>
                <c:pt idx="1">
                  <c:v>3370.95</c:v>
                </c:pt>
                <c:pt idx="2">
                  <c:v>9500</c:v>
                </c:pt>
                <c:pt idx="3">
                  <c:v>0</c:v>
                </c:pt>
                <c:pt idx="4">
                  <c:v>49339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01-4860-8DAA-4D96EBBB00DC}"/>
            </c:ext>
          </c:extLst>
        </c:ser>
        <c:ser>
          <c:idx val="2"/>
          <c:order val="2"/>
          <c:tx>
            <c:strRef>
              <c:f>'Audit Panel Report'!$U$21</c:f>
              <c:strCache>
                <c:ptCount val="1"/>
                <c:pt idx="0">
                  <c:v>General CIL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'Audit Panel Report'!$R$22:$R$28</c:f>
              <c:strCache>
                <c:ptCount val="7"/>
                <c:pt idx="0">
                  <c:v>20/21</c:v>
                </c:pt>
                <c:pt idx="1">
                  <c:v>21/22</c:v>
                </c:pt>
                <c:pt idx="2">
                  <c:v>22/23</c:v>
                </c:pt>
                <c:pt idx="3">
                  <c:v>23/24</c:v>
                </c:pt>
                <c:pt idx="4">
                  <c:v>24/25</c:v>
                </c:pt>
                <c:pt idx="5">
                  <c:v>25/26</c:v>
                </c:pt>
                <c:pt idx="6">
                  <c:v>26/27 to date</c:v>
                </c:pt>
              </c:strCache>
            </c:strRef>
          </c:cat>
          <c:val>
            <c:numRef>
              <c:f>'Audit Panel Report'!$U$22:$U$28</c:f>
              <c:numCache>
                <c:formatCode>\£#,##0.00;[Red]\-\£#,##0.00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16471.919999999998</c:v>
                </c:pt>
                <c:pt idx="4">
                  <c:v>71689.11</c:v>
                </c:pt>
                <c:pt idx="5">
                  <c:v>53786.339999999989</c:v>
                </c:pt>
                <c:pt idx="6">
                  <c:v>18691.839999999997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01-4860-8DAA-4D96EBBB0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80530384"/>
        <c:axId val="1341477680"/>
      </c:barChart>
      <c:catAx>
        <c:axId val="1380530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Financial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477680"/>
        <c:crosses val="autoZero"/>
        <c:auto val="1"/>
        <c:lblAlgn val="ctr"/>
        <c:lblOffset val="100"/>
        <c:noMultiLvlLbl val="0"/>
      </c:catAx>
      <c:valAx>
        <c:axId val="134147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£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\£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53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Budget, actual and straight-line forecast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'Visual Summary'!$B$4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'Visual Summary'!$A$5:$A$7</c:f>
              <c:strCache>
                <c:ptCount val="3"/>
                <c:pt idx="0">
                  <c:v>Receipts</c:v>
                </c:pt>
                <c:pt idx="1">
                  <c:v>Payments</c:v>
                </c:pt>
                <c:pt idx="2">
                  <c:v>Net surplus/(deficit)</c:v>
                </c:pt>
              </c:strCache>
            </c:strRef>
          </c:cat>
          <c:val>
            <c:numRef>
              <c:f>'Visual Summary'!$B$5:$B$7</c:f>
              <c:numCache>
                <c:formatCode>\£#,##0</c:formatCode>
                <c:ptCount val="3"/>
                <c:pt idx="0">
                  <c:v>95530</c:v>
                </c:pt>
                <c:pt idx="1">
                  <c:v>90600</c:v>
                </c:pt>
                <c:pt idx="2">
                  <c:v>4930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8-4382-A4DA-A90206F0BC09}"/>
            </c:ext>
          </c:extLst>
        </c:ser>
        <c:ser>
          <c:idx val="1"/>
          <c:order val="1"/>
          <c:tx>
            <c:strRef>
              <c:f>'Visual Summary'!$C$4</c:f>
              <c:strCache>
                <c:ptCount val="1"/>
                <c:pt idx="0">
                  <c:v>Actual to date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'Visual Summary'!$A$5:$A$7</c:f>
              <c:strCache>
                <c:ptCount val="3"/>
                <c:pt idx="0">
                  <c:v>Receipts</c:v>
                </c:pt>
                <c:pt idx="1">
                  <c:v>Payments</c:v>
                </c:pt>
                <c:pt idx="2">
                  <c:v>Net surplus/(deficit)</c:v>
                </c:pt>
              </c:strCache>
            </c:strRef>
          </c:cat>
          <c:val>
            <c:numRef>
              <c:f>'Visual Summary'!$C$5:$C$7</c:f>
              <c:numCache>
                <c:formatCode>\£#,##0</c:formatCode>
                <c:ptCount val="3"/>
                <c:pt idx="0">
                  <c:v>45867</c:v>
                </c:pt>
                <c:pt idx="1">
                  <c:v>25334</c:v>
                </c:pt>
                <c:pt idx="2">
                  <c:v>20533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B8-4382-A4DA-A90206F0BC09}"/>
            </c:ext>
          </c:extLst>
        </c:ser>
        <c:ser>
          <c:idx val="2"/>
          <c:order val="2"/>
          <c:tx>
            <c:strRef>
              <c:f>'Visual Summary'!$D$4</c:f>
              <c:strCache>
                <c:ptCount val="1"/>
                <c:pt idx="0">
                  <c:v>Straight-line forecast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'Visual Summary'!$A$5:$A$7</c:f>
              <c:strCache>
                <c:ptCount val="3"/>
                <c:pt idx="0">
                  <c:v>Receipts</c:v>
                </c:pt>
                <c:pt idx="1">
                  <c:v>Payments</c:v>
                </c:pt>
                <c:pt idx="2">
                  <c:v>Net surplus/(deficit)</c:v>
                </c:pt>
              </c:strCache>
            </c:strRef>
          </c:cat>
          <c:val>
            <c:numRef>
              <c:f>'Visual Summary'!$D$5:$D$7</c:f>
              <c:numCache>
                <c:formatCode>\£#,##0</c:formatCode>
                <c:ptCount val="3"/>
                <c:pt idx="0">
                  <c:v>183468</c:v>
                </c:pt>
                <c:pt idx="1">
                  <c:v>101336</c:v>
                </c:pt>
                <c:pt idx="2">
                  <c:v>82132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B8-4382-A4DA-A90206F0B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189568"/>
        <c:axId val="1375913520"/>
      </c:barChart>
      <c:catAx>
        <c:axId val="1330189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Position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5913520"/>
        <c:crosses val="autoZero"/>
        <c:auto val="1"/>
        <c:lblAlgn val="ctr"/>
        <c:lblOffset val="100"/>
        <c:noMultiLvlLbl val="0"/>
      </c:catAx>
      <c:valAx>
        <c:axId val="137591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Amount (£)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\£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0189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Spending exceptions: budget vs actual to date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'Visual Summary'!$B$11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\£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'Visual Summary'!$A$12:$A$18</c:f>
              <c:strCache>
                <c:ptCount val="7"/>
                <c:pt idx="0">
                  <c:v>Light Maintenance</c:v>
                </c:pt>
                <c:pt idx="1">
                  <c:v>Insurance</c:v>
                </c:pt>
                <c:pt idx="2">
                  <c:v>Playing Field</c:v>
                </c:pt>
                <c:pt idx="3">
                  <c:v>Planter &amp; Misc Landscape</c:v>
                </c:pt>
                <c:pt idx="4">
                  <c:v>Administration/Subs &amp; Fees</c:v>
                </c:pt>
                <c:pt idx="5">
                  <c:v>Amenity</c:v>
                </c:pt>
                <c:pt idx="6">
                  <c:v>Warm Hub</c:v>
                </c:pt>
              </c:strCache>
            </c:strRef>
          </c:cat>
          <c:val>
            <c:numRef>
              <c:f>'Visual Summary'!$B$12:$B$18</c:f>
              <c:numCache>
                <c:formatCode>\£#,##0</c:formatCode>
                <c:ptCount val="7"/>
                <c:pt idx="0">
                  <c:v>150</c:v>
                </c:pt>
                <c:pt idx="1">
                  <c:v>1750</c:v>
                </c:pt>
                <c:pt idx="2">
                  <c:v>4000</c:v>
                </c:pt>
                <c:pt idx="3">
                  <c:v>9000</c:v>
                </c:pt>
                <c:pt idx="4">
                  <c:v>6000</c:v>
                </c:pt>
                <c:pt idx="5">
                  <c:v>11000</c:v>
                </c:pt>
                <c:pt idx="6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78-4DC6-BBA5-988F49EEE256}"/>
            </c:ext>
          </c:extLst>
        </c:ser>
        <c:ser>
          <c:idx val="1"/>
          <c:order val="1"/>
          <c:tx>
            <c:strRef>
              <c:f>'Visual Summary'!$C$11</c:f>
              <c:strCache>
                <c:ptCount val="1"/>
                <c:pt idx="0">
                  <c:v>Actual to date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\£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'Visual Summary'!$A$12:$A$18</c:f>
              <c:strCache>
                <c:ptCount val="7"/>
                <c:pt idx="0">
                  <c:v>Light Maintenance</c:v>
                </c:pt>
                <c:pt idx="1">
                  <c:v>Insurance</c:v>
                </c:pt>
                <c:pt idx="2">
                  <c:v>Playing Field</c:v>
                </c:pt>
                <c:pt idx="3">
                  <c:v>Planter &amp; Misc Landscape</c:v>
                </c:pt>
                <c:pt idx="4">
                  <c:v>Administration/Subs &amp; Fees</c:v>
                </c:pt>
                <c:pt idx="5">
                  <c:v>Amenity</c:v>
                </c:pt>
                <c:pt idx="6">
                  <c:v>Warm Hub</c:v>
                </c:pt>
              </c:strCache>
            </c:strRef>
          </c:cat>
          <c:val>
            <c:numRef>
              <c:f>'Visual Summary'!$C$12:$C$18</c:f>
              <c:numCache>
                <c:formatCode>\£#,##0</c:formatCode>
                <c:ptCount val="7"/>
                <c:pt idx="0">
                  <c:v>873</c:v>
                </c:pt>
                <c:pt idx="1">
                  <c:v>1896</c:v>
                </c:pt>
                <c:pt idx="2">
                  <c:v>2848</c:v>
                </c:pt>
                <c:pt idx="3">
                  <c:v>3520</c:v>
                </c:pt>
                <c:pt idx="4">
                  <c:v>2606</c:v>
                </c:pt>
                <c:pt idx="5">
                  <c:v>3637</c:v>
                </c:pt>
                <c:pt idx="6">
                  <c:v>1663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78-4DC6-BBA5-988F49EEE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30193744"/>
        <c:axId val="1375878480"/>
      </c:barChart>
      <c:catAx>
        <c:axId val="13301937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Spending line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5878480"/>
        <c:crosses val="autoZero"/>
        <c:auto val="1"/>
        <c:lblAlgn val="ctr"/>
        <c:lblOffset val="100"/>
        <c:noMultiLvlLbl val="0"/>
      </c:catAx>
      <c:valAx>
        <c:axId val="1375878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Amount (£)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\£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0193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CIL and grant balances: spent vs remaining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'Visual Summary'!$H$4</c:f>
              <c:strCache>
                <c:ptCount val="1"/>
                <c:pt idx="0">
                  <c:v>Spent / committed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'Visual Summary'!$F$5:$F$9</c:f>
              <c:strCache>
                <c:ptCount val="5"/>
                <c:pt idx="0">
                  <c:v>Total CIL monies</c:v>
                </c:pt>
                <c:pt idx="1">
                  <c:v>Greenway CIL allocation</c:v>
                </c:pt>
                <c:pt idx="2">
                  <c:v>Traffic calming allocation</c:v>
                </c:pt>
                <c:pt idx="3">
                  <c:v>General CIL balance</c:v>
                </c:pt>
                <c:pt idx="4">
                  <c:v>Greenway grant funding</c:v>
                </c:pt>
              </c:strCache>
            </c:strRef>
          </c:cat>
          <c:val>
            <c:numRef>
              <c:f>'Visual Summary'!$H$5:$H$9</c:f>
              <c:numCache>
                <c:formatCode>\£#,##0</c:formatCode>
                <c:ptCount val="5"/>
                <c:pt idx="0">
                  <c:v>248467.65999999997</c:v>
                </c:pt>
                <c:pt idx="1">
                  <c:v>24418.5</c:v>
                </c:pt>
                <c:pt idx="2">
                  <c:v>63409.95</c:v>
                </c:pt>
                <c:pt idx="3">
                  <c:v>160639.21</c:v>
                </c:pt>
                <c:pt idx="4">
                  <c:v>32450.440000000002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E-4DC6-9D7D-4D13EA63DFE8}"/>
            </c:ext>
          </c:extLst>
        </c:ser>
        <c:ser>
          <c:idx val="1"/>
          <c:order val="1"/>
          <c:tx>
            <c:strRef>
              <c:f>'Visual Summary'!$I$4</c:f>
              <c:strCache>
                <c:ptCount val="1"/>
                <c:pt idx="0">
                  <c:v>Remaining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'Visual Summary'!$F$5:$F$9</c:f>
              <c:strCache>
                <c:ptCount val="5"/>
                <c:pt idx="0">
                  <c:v>Total CIL monies</c:v>
                </c:pt>
                <c:pt idx="1">
                  <c:v>Greenway CIL allocation</c:v>
                </c:pt>
                <c:pt idx="2">
                  <c:v>Traffic calming allocation</c:v>
                </c:pt>
                <c:pt idx="3">
                  <c:v>General CIL balance</c:v>
                </c:pt>
                <c:pt idx="4">
                  <c:v>Greenway grant funding</c:v>
                </c:pt>
              </c:strCache>
            </c:strRef>
          </c:cat>
          <c:val>
            <c:numRef>
              <c:f>'Visual Summary'!$I$5:$I$9</c:f>
              <c:numCache>
                <c:formatCode>\£#,##0</c:formatCode>
                <c:ptCount val="5"/>
                <c:pt idx="0">
                  <c:v>116565.73999999998</c:v>
                </c:pt>
                <c:pt idx="1">
                  <c:v>75581.5</c:v>
                </c:pt>
                <c:pt idx="2">
                  <c:v>36590.050000000003</c:v>
                </c:pt>
                <c:pt idx="3">
                  <c:v>4394.1899999999732</c:v>
                </c:pt>
                <c:pt idx="4">
                  <c:v>277918.56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3E-4DC6-9D7D-4D13EA63D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1219824"/>
        <c:axId val="1375957680"/>
      </c:barChart>
      <c:catAx>
        <c:axId val="1391219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5957680"/>
        <c:crosses val="autoZero"/>
        <c:auto val="1"/>
        <c:lblAlgn val="ctr"/>
        <c:lblOffset val="100"/>
        <c:noMultiLvlLbl val="0"/>
      </c:catAx>
      <c:valAx>
        <c:axId val="1375957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Amount (£)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\£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121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CIL spending by financial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'Visual Summary'!$G$12</c:f>
              <c:strCache>
                <c:ptCount val="1"/>
                <c:pt idx="0">
                  <c:v>Greenway CIL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'Visual Summary'!$F$13:$F$19</c:f>
              <c:strCache>
                <c:ptCount val="7"/>
                <c:pt idx="0">
                  <c:v>20/21</c:v>
                </c:pt>
                <c:pt idx="1">
                  <c:v>21/22</c:v>
                </c:pt>
                <c:pt idx="2">
                  <c:v>22/23</c:v>
                </c:pt>
                <c:pt idx="3">
                  <c:v>23/24</c:v>
                </c:pt>
                <c:pt idx="4">
                  <c:v>24/25</c:v>
                </c:pt>
                <c:pt idx="5">
                  <c:v>25/26</c:v>
                </c:pt>
                <c:pt idx="6">
                  <c:v>26/27 to date</c:v>
                </c:pt>
              </c:strCache>
            </c:strRef>
          </c:cat>
          <c:val>
            <c:numRef>
              <c:f>'Visual Summary'!$G$13:$G$19</c:f>
              <c:numCache>
                <c:formatCode>\£#,##0</c:formatCode>
                <c:ptCount val="7"/>
                <c:pt idx="0">
                  <c:v>0</c:v>
                </c:pt>
                <c:pt idx="1">
                  <c:v>1048</c:v>
                </c:pt>
                <c:pt idx="2">
                  <c:v>3170</c:v>
                </c:pt>
                <c:pt idx="3">
                  <c:v>12106.5</c:v>
                </c:pt>
                <c:pt idx="4">
                  <c:v>8094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7A-4C80-BADA-FBB41FFB8F53}"/>
            </c:ext>
          </c:extLst>
        </c:ser>
        <c:ser>
          <c:idx val="1"/>
          <c:order val="1"/>
          <c:tx>
            <c:strRef>
              <c:f>'Visual Summary'!$H$12</c:f>
              <c:strCache>
                <c:ptCount val="1"/>
                <c:pt idx="0">
                  <c:v>Traffic calming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'Visual Summary'!$F$13:$F$19</c:f>
              <c:strCache>
                <c:ptCount val="7"/>
                <c:pt idx="0">
                  <c:v>20/21</c:v>
                </c:pt>
                <c:pt idx="1">
                  <c:v>21/22</c:v>
                </c:pt>
                <c:pt idx="2">
                  <c:v>22/23</c:v>
                </c:pt>
                <c:pt idx="3">
                  <c:v>23/24</c:v>
                </c:pt>
                <c:pt idx="4">
                  <c:v>24/25</c:v>
                </c:pt>
                <c:pt idx="5">
                  <c:v>25/26</c:v>
                </c:pt>
                <c:pt idx="6">
                  <c:v>26/27 to date</c:v>
                </c:pt>
              </c:strCache>
            </c:strRef>
          </c:cat>
          <c:val>
            <c:numRef>
              <c:f>'Visual Summary'!$H$13:$H$19</c:f>
              <c:numCache>
                <c:formatCode>\£#,##0</c:formatCode>
                <c:ptCount val="7"/>
                <c:pt idx="0">
                  <c:v>1200</c:v>
                </c:pt>
                <c:pt idx="1">
                  <c:v>3370.95</c:v>
                </c:pt>
                <c:pt idx="2">
                  <c:v>9500</c:v>
                </c:pt>
                <c:pt idx="3">
                  <c:v>0</c:v>
                </c:pt>
                <c:pt idx="4">
                  <c:v>49339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7A-4C80-BADA-FBB41FFB8F53}"/>
            </c:ext>
          </c:extLst>
        </c:ser>
        <c:ser>
          <c:idx val="2"/>
          <c:order val="2"/>
          <c:tx>
            <c:strRef>
              <c:f>'Visual Summary'!$I$12</c:f>
              <c:strCache>
                <c:ptCount val="1"/>
                <c:pt idx="0">
                  <c:v>General CIL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'Visual Summary'!$F$13:$F$19</c:f>
              <c:strCache>
                <c:ptCount val="7"/>
                <c:pt idx="0">
                  <c:v>20/21</c:v>
                </c:pt>
                <c:pt idx="1">
                  <c:v>21/22</c:v>
                </c:pt>
                <c:pt idx="2">
                  <c:v>22/23</c:v>
                </c:pt>
                <c:pt idx="3">
                  <c:v>23/24</c:v>
                </c:pt>
                <c:pt idx="4">
                  <c:v>24/25</c:v>
                </c:pt>
                <c:pt idx="5">
                  <c:v>25/26</c:v>
                </c:pt>
                <c:pt idx="6">
                  <c:v>26/27 to date</c:v>
                </c:pt>
              </c:strCache>
            </c:strRef>
          </c:cat>
          <c:val>
            <c:numRef>
              <c:f>'Visual Summary'!$I$13:$I$19</c:f>
              <c:numCache>
                <c:formatCode>\£#,##0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16471.919999999998</c:v>
                </c:pt>
                <c:pt idx="4">
                  <c:v>71689.11</c:v>
                </c:pt>
                <c:pt idx="5">
                  <c:v>53786.339999999989</c:v>
                </c:pt>
                <c:pt idx="6">
                  <c:v>18691.839999999997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7A-4C80-BADA-FBB41FFB8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0208128"/>
        <c:axId val="1375990800"/>
      </c:barChart>
      <c:catAx>
        <c:axId val="1330208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Financial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5990800"/>
        <c:crosses val="autoZero"/>
        <c:auto val="1"/>
        <c:lblAlgn val="ctr"/>
        <c:lblOffset val="100"/>
        <c:noMultiLvlLbl val="0"/>
      </c:catAx>
      <c:valAx>
        <c:axId val="137599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Spend (£)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\£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020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17</xdr:col>
      <xdr:colOff>0</xdr:colOff>
      <xdr:row>20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B296A8-D13A-13B6-A23D-74363BCBC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21</xdr:row>
      <xdr:rowOff>0</xdr:rowOff>
    </xdr:from>
    <xdr:to>
      <xdr:col>17</xdr:col>
      <xdr:colOff>0</xdr:colOff>
      <xdr:row>39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100629-4267-94DB-60B3-F9BC53BF0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40</xdr:row>
      <xdr:rowOff>0</xdr:rowOff>
    </xdr:from>
    <xdr:to>
      <xdr:col>17</xdr:col>
      <xdr:colOff>0</xdr:colOff>
      <xdr:row>58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C830A1F-8A8E-52EC-77ED-67AA472C1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9</xdr:col>
      <xdr:colOff>0</xdr:colOff>
      <xdr:row>38</xdr:row>
      <xdr:rowOff>0</xdr:rowOff>
    </xdr:to>
    <xdr:graphicFrame macro="">
      <xdr:nvGraphicFramePr>
        <xdr:cNvPr id="2" name="Budget position chart">
          <a:extLst>
            <a:ext uri="{FF2B5EF4-FFF2-40B4-BE49-F238E27FC236}">
              <a16:creationId xmlns:a16="http://schemas.microsoft.com/office/drawing/2014/main" id="{A225B168-D910-078C-3C35-B03DF25DD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19</xdr:col>
      <xdr:colOff>0</xdr:colOff>
      <xdr:row>18</xdr:row>
      <xdr:rowOff>0</xdr:rowOff>
    </xdr:to>
    <xdr:graphicFrame macro="">
      <xdr:nvGraphicFramePr>
        <xdr:cNvPr id="3" name="Top spending exceptions chart">
          <a:extLst>
            <a:ext uri="{FF2B5EF4-FFF2-40B4-BE49-F238E27FC236}">
              <a16:creationId xmlns:a16="http://schemas.microsoft.com/office/drawing/2014/main" id="{C8EAE8F7-3D7B-F77A-B921-36E2F2DA4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20</xdr:row>
      <xdr:rowOff>0</xdr:rowOff>
    </xdr:from>
    <xdr:to>
      <xdr:col>19</xdr:col>
      <xdr:colOff>0</xdr:colOff>
      <xdr:row>38</xdr:row>
      <xdr:rowOff>0</xdr:rowOff>
    </xdr:to>
    <xdr:graphicFrame macro="">
      <xdr:nvGraphicFramePr>
        <xdr:cNvPr id="4" name="CIL balances chart">
          <a:extLst>
            <a:ext uri="{FF2B5EF4-FFF2-40B4-BE49-F238E27FC236}">
              <a16:creationId xmlns:a16="http://schemas.microsoft.com/office/drawing/2014/main" id="{3EE2DBF6-4F60-F5E3-5EED-CB09DD2E6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9</xdr:col>
      <xdr:colOff>0</xdr:colOff>
      <xdr:row>58</xdr:row>
      <xdr:rowOff>0</xdr:rowOff>
    </xdr:to>
    <xdr:graphicFrame macro="">
      <xdr:nvGraphicFramePr>
        <xdr:cNvPr id="5" name="CIL spend trend chart">
          <a:extLst>
            <a:ext uri="{FF2B5EF4-FFF2-40B4-BE49-F238E27FC236}">
              <a16:creationId xmlns:a16="http://schemas.microsoft.com/office/drawing/2014/main" id="{9764E9E9-78D3-EE00-3E3A-5020A951C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053EF-92D8-1B44-B74F-F7E125844EF9}">
  <dimension ref="A1:K61"/>
  <sheetViews>
    <sheetView tabSelected="1" workbookViewId="0">
      <selection activeCell="D32" sqref="D32"/>
    </sheetView>
  </sheetViews>
  <sheetFormatPr baseColWidth="10" defaultColWidth="11" defaultRowHeight="16" x14ac:dyDescent="0.2"/>
  <cols>
    <col min="2" max="2" width="12.33203125" customWidth="1"/>
    <col min="5" max="5" width="14.83203125" customWidth="1"/>
    <col min="9" max="10" width="14.33203125" customWidth="1"/>
  </cols>
  <sheetData>
    <row r="1" spans="1:10" x14ac:dyDescent="0.2">
      <c r="A1" s="172" t="s">
        <v>195</v>
      </c>
      <c r="B1" s="172"/>
      <c r="C1" s="172"/>
      <c r="D1" s="172"/>
      <c r="E1" s="172"/>
      <c r="F1" s="172"/>
      <c r="G1" s="172"/>
      <c r="H1" s="172"/>
      <c r="I1" s="172"/>
      <c r="J1" s="74"/>
    </row>
    <row r="2" spans="1:10" x14ac:dyDescent="0.2">
      <c r="C2" s="173" t="s">
        <v>0</v>
      </c>
      <c r="D2" s="173"/>
      <c r="E2" s="173"/>
      <c r="F2" s="146"/>
      <c r="G2" s="181"/>
      <c r="H2" s="181"/>
      <c r="I2" s="147"/>
      <c r="J2" s="66"/>
    </row>
    <row r="3" spans="1:10" ht="34" x14ac:dyDescent="0.2">
      <c r="C3" s="66" t="s">
        <v>1</v>
      </c>
      <c r="D3" s="1" t="s">
        <v>2</v>
      </c>
      <c r="E3" s="75" t="s">
        <v>170</v>
      </c>
      <c r="F3" s="174" t="s">
        <v>3</v>
      </c>
      <c r="G3" s="175"/>
      <c r="H3" s="175"/>
      <c r="I3" s="176"/>
      <c r="J3" s="77"/>
    </row>
    <row r="4" spans="1:10" x14ac:dyDescent="0.2">
      <c r="C4" s="66" t="s">
        <v>194</v>
      </c>
      <c r="D4" s="1" t="s">
        <v>4</v>
      </c>
      <c r="E4" s="75"/>
      <c r="F4" s="178"/>
      <c r="G4" s="179"/>
      <c r="H4" s="179"/>
      <c r="I4" s="180"/>
      <c r="J4" s="2"/>
    </row>
    <row r="5" spans="1:10" x14ac:dyDescent="0.2">
      <c r="A5" s="177" t="s">
        <v>5</v>
      </c>
      <c r="B5" s="177"/>
      <c r="C5" s="3"/>
      <c r="D5" s="4"/>
      <c r="E5" s="5"/>
      <c r="F5" s="162"/>
      <c r="G5" s="163"/>
      <c r="H5" s="163"/>
      <c r="I5" s="164"/>
      <c r="J5" s="5"/>
    </row>
    <row r="6" spans="1:10" x14ac:dyDescent="0.2">
      <c r="A6" s="165" t="s">
        <v>6</v>
      </c>
      <c r="B6" s="165"/>
      <c r="C6" s="3">
        <v>88000</v>
      </c>
      <c r="D6" s="7">
        <v>44000</v>
      </c>
      <c r="E6" s="8"/>
      <c r="F6" s="162"/>
      <c r="G6" s="163"/>
      <c r="H6" s="163"/>
      <c r="I6" s="164"/>
      <c r="J6" s="3"/>
    </row>
    <row r="7" spans="1:10" x14ac:dyDescent="0.2">
      <c r="A7" s="165" t="s">
        <v>7</v>
      </c>
      <c r="B7" s="165"/>
      <c r="C7" s="3">
        <v>2000</v>
      </c>
      <c r="D7" s="7">
        <v>0</v>
      </c>
      <c r="E7" s="8"/>
      <c r="F7" s="162"/>
      <c r="G7" s="163"/>
      <c r="H7" s="163"/>
      <c r="I7" s="164"/>
      <c r="J7" s="3"/>
    </row>
    <row r="8" spans="1:10" x14ac:dyDescent="0.2">
      <c r="A8" s="165" t="s">
        <v>8</v>
      </c>
      <c r="B8" s="165"/>
      <c r="C8" s="3">
        <v>1200</v>
      </c>
      <c r="D8" s="7">
        <v>1108</v>
      </c>
      <c r="E8" s="8"/>
      <c r="F8" s="162"/>
      <c r="G8" s="163"/>
      <c r="H8" s="163"/>
      <c r="I8" s="164"/>
      <c r="J8" s="3"/>
    </row>
    <row r="9" spans="1:10" x14ac:dyDescent="0.2">
      <c r="A9" s="165" t="s">
        <v>9</v>
      </c>
      <c r="B9" s="165"/>
      <c r="C9" s="3"/>
      <c r="D9" s="7">
        <v>0</v>
      </c>
      <c r="E9" s="9"/>
      <c r="F9" s="162"/>
      <c r="G9" s="163"/>
      <c r="H9" s="163"/>
      <c r="I9" s="164"/>
      <c r="J9" s="3"/>
    </row>
    <row r="10" spans="1:10" x14ac:dyDescent="0.2">
      <c r="A10" s="165" t="s">
        <v>10</v>
      </c>
      <c r="B10" s="165"/>
      <c r="C10" s="3">
        <v>500</v>
      </c>
      <c r="D10" s="7">
        <v>102</v>
      </c>
      <c r="E10" s="8"/>
      <c r="F10" s="162"/>
      <c r="G10" s="163"/>
      <c r="H10" s="163"/>
      <c r="I10" s="164"/>
      <c r="J10" s="3"/>
    </row>
    <row r="11" spans="1:10" x14ac:dyDescent="0.2">
      <c r="A11" s="128" t="s">
        <v>135</v>
      </c>
      <c r="B11" s="129"/>
      <c r="C11" s="3">
        <v>2000</v>
      </c>
      <c r="D11" s="7">
        <v>406</v>
      </c>
      <c r="E11" s="8"/>
      <c r="F11" s="162"/>
      <c r="G11" s="163"/>
      <c r="H11" s="163"/>
      <c r="I11" s="164"/>
      <c r="J11" s="3"/>
    </row>
    <row r="12" spans="1:10" x14ac:dyDescent="0.2">
      <c r="A12" s="128" t="s">
        <v>11</v>
      </c>
      <c r="B12" s="129"/>
      <c r="C12" s="3">
        <v>1800</v>
      </c>
      <c r="D12" s="35">
        <v>245</v>
      </c>
      <c r="E12" s="81"/>
      <c r="F12" s="162"/>
      <c r="G12" s="163"/>
      <c r="H12" s="163"/>
      <c r="I12" s="164"/>
      <c r="J12" s="3"/>
    </row>
    <row r="13" spans="1:10" x14ac:dyDescent="0.2">
      <c r="A13" s="128" t="s">
        <v>12</v>
      </c>
      <c r="B13" s="129"/>
      <c r="C13" s="3">
        <v>30</v>
      </c>
      <c r="D13" s="7">
        <v>6</v>
      </c>
      <c r="E13" s="8"/>
      <c r="F13" s="162"/>
      <c r="G13" s="163"/>
      <c r="H13" s="163"/>
      <c r="I13" s="164"/>
      <c r="J13" s="3"/>
    </row>
    <row r="14" spans="1:10" x14ac:dyDescent="0.2">
      <c r="A14" s="128" t="s">
        <v>13</v>
      </c>
      <c r="B14" s="129"/>
      <c r="C14" s="6">
        <v>0</v>
      </c>
      <c r="D14" s="7">
        <v>0</v>
      </c>
      <c r="E14" s="8"/>
      <c r="F14" s="130"/>
      <c r="G14" s="131"/>
      <c r="H14" s="131"/>
      <c r="I14" s="132"/>
      <c r="J14" s="8"/>
    </row>
    <row r="15" spans="1:10" x14ac:dyDescent="0.2">
      <c r="A15" s="128" t="s">
        <v>47</v>
      </c>
      <c r="B15" s="129"/>
      <c r="C15" s="6">
        <v>0</v>
      </c>
      <c r="D15" s="7">
        <v>0</v>
      </c>
      <c r="E15" s="8"/>
      <c r="F15" s="130"/>
      <c r="G15" s="131"/>
      <c r="H15" s="131"/>
      <c r="I15" s="132"/>
      <c r="J15" s="8"/>
    </row>
    <row r="16" spans="1:10" x14ac:dyDescent="0.2">
      <c r="A16" s="128" t="s">
        <v>14</v>
      </c>
      <c r="B16" s="129"/>
      <c r="C16" s="6">
        <v>0</v>
      </c>
      <c r="D16" s="7">
        <v>0</v>
      </c>
      <c r="E16" s="8"/>
      <c r="F16" s="130"/>
      <c r="G16" s="131"/>
      <c r="H16" s="131"/>
      <c r="I16" s="132"/>
      <c r="J16" s="8"/>
    </row>
    <row r="17" spans="1:10" x14ac:dyDescent="0.2">
      <c r="A17" s="128" t="s">
        <v>15</v>
      </c>
      <c r="B17" s="129"/>
      <c r="C17" s="6">
        <v>0</v>
      </c>
      <c r="D17" s="7">
        <v>0</v>
      </c>
      <c r="E17" s="9"/>
      <c r="F17" s="130"/>
      <c r="G17" s="131"/>
      <c r="H17" s="131"/>
      <c r="I17" s="132"/>
      <c r="J17" s="8"/>
    </row>
    <row r="18" spans="1:10" x14ac:dyDescent="0.2">
      <c r="A18" s="185" t="s">
        <v>16</v>
      </c>
      <c r="B18" s="186"/>
      <c r="C18" s="11">
        <f>SUM(C6:C17)</f>
        <v>95530</v>
      </c>
      <c r="D18" s="12">
        <f>SUM(D6:D17)</f>
        <v>45867</v>
      </c>
      <c r="E18" s="13">
        <f>SUM(E6:E17)</f>
        <v>0</v>
      </c>
      <c r="F18" s="182"/>
      <c r="G18" s="183"/>
      <c r="H18" s="183"/>
      <c r="I18" s="184"/>
      <c r="J18" s="13">
        <f>SUM(J5:J17)</f>
        <v>0</v>
      </c>
    </row>
    <row r="19" spans="1:10" x14ac:dyDescent="0.2">
      <c r="A19" s="146"/>
      <c r="B19" s="147"/>
      <c r="C19" s="6"/>
      <c r="D19" s="7"/>
      <c r="E19" s="10"/>
      <c r="F19" s="182"/>
      <c r="G19" s="183"/>
      <c r="H19" s="183"/>
      <c r="I19" s="184"/>
      <c r="J19" s="13"/>
    </row>
    <row r="20" spans="1:10" x14ac:dyDescent="0.2">
      <c r="A20" s="148" t="s">
        <v>17</v>
      </c>
      <c r="B20" s="148"/>
      <c r="C20" s="6"/>
      <c r="D20" s="7"/>
      <c r="E20" s="10"/>
      <c r="F20" s="182"/>
      <c r="G20" s="183"/>
      <c r="H20" s="183"/>
      <c r="I20" s="184"/>
      <c r="J20" s="13"/>
    </row>
    <row r="21" spans="1:10" ht="35" customHeight="1" x14ac:dyDescent="0.2">
      <c r="A21" s="149" t="s">
        <v>128</v>
      </c>
      <c r="B21" s="124"/>
      <c r="C21" s="40">
        <v>18900</v>
      </c>
      <c r="D21" s="15">
        <v>4542</v>
      </c>
      <c r="E21" s="17"/>
      <c r="F21" s="143"/>
      <c r="G21" s="144"/>
      <c r="H21" s="144"/>
      <c r="I21" s="145"/>
      <c r="J21" s="40"/>
    </row>
    <row r="22" spans="1:10" x14ac:dyDescent="0.2">
      <c r="A22" s="150" t="s">
        <v>129</v>
      </c>
      <c r="B22" s="150"/>
      <c r="C22" s="3">
        <v>1700</v>
      </c>
      <c r="D22" s="7">
        <v>248</v>
      </c>
      <c r="E22" s="9"/>
      <c r="F22" s="125"/>
      <c r="G22" s="126"/>
      <c r="H22" s="126"/>
      <c r="I22" s="127"/>
      <c r="J22" s="3"/>
    </row>
    <row r="23" spans="1:10" x14ac:dyDescent="0.2">
      <c r="A23" s="150" t="s">
        <v>18</v>
      </c>
      <c r="B23" s="150"/>
      <c r="C23" s="3">
        <v>1000</v>
      </c>
      <c r="D23" s="7">
        <v>197</v>
      </c>
      <c r="E23" s="8"/>
      <c r="F23" s="125"/>
      <c r="G23" s="126"/>
      <c r="H23" s="126"/>
      <c r="I23" s="127"/>
      <c r="J23" s="3"/>
    </row>
    <row r="24" spans="1:10" x14ac:dyDescent="0.2">
      <c r="A24" s="150" t="s">
        <v>130</v>
      </c>
      <c r="B24" s="150"/>
      <c r="C24" s="3">
        <v>6000</v>
      </c>
      <c r="D24" s="7">
        <v>2606</v>
      </c>
      <c r="E24" s="9"/>
      <c r="F24" s="125"/>
      <c r="G24" s="126"/>
      <c r="H24" s="126"/>
      <c r="I24" s="127"/>
      <c r="J24" s="3"/>
    </row>
    <row r="25" spans="1:10" x14ac:dyDescent="0.2">
      <c r="A25" s="150" t="s">
        <v>19</v>
      </c>
      <c r="B25" s="150"/>
      <c r="C25" s="3">
        <v>2000</v>
      </c>
      <c r="D25" s="7">
        <v>493</v>
      </c>
      <c r="E25" s="8"/>
      <c r="F25" s="125"/>
      <c r="G25" s="126"/>
      <c r="H25" s="126"/>
      <c r="I25" s="127"/>
      <c r="J25" s="3"/>
    </row>
    <row r="26" spans="1:10" ht="18" customHeight="1" x14ac:dyDescent="0.2">
      <c r="A26" s="124" t="s">
        <v>20</v>
      </c>
      <c r="B26" s="124"/>
      <c r="C26" s="133">
        <v>7000</v>
      </c>
      <c r="D26" s="192">
        <v>790</v>
      </c>
      <c r="E26" s="190"/>
      <c r="F26" s="135"/>
      <c r="G26" s="136"/>
      <c r="H26" s="136"/>
      <c r="I26" s="137"/>
      <c r="J26" s="133"/>
    </row>
    <row r="27" spans="1:10" ht="16" customHeight="1" x14ac:dyDescent="0.2">
      <c r="A27" s="124" t="s">
        <v>21</v>
      </c>
      <c r="B27" s="124"/>
      <c r="C27" s="134"/>
      <c r="D27" s="193"/>
      <c r="E27" s="191"/>
      <c r="F27" s="138"/>
      <c r="G27" s="139"/>
      <c r="H27" s="139"/>
      <c r="I27" s="140"/>
      <c r="J27" s="134"/>
    </row>
    <row r="28" spans="1:10" x14ac:dyDescent="0.2">
      <c r="A28" s="167" t="s">
        <v>22</v>
      </c>
      <c r="B28" s="168"/>
      <c r="C28" s="3">
        <v>11000</v>
      </c>
      <c r="D28" s="15">
        <v>3637</v>
      </c>
      <c r="E28" s="17"/>
      <c r="F28" s="125"/>
      <c r="G28" s="126"/>
      <c r="H28" s="126"/>
      <c r="I28" s="127"/>
      <c r="J28" s="3"/>
    </row>
    <row r="29" spans="1:10" x14ac:dyDescent="0.2">
      <c r="A29" s="150" t="s">
        <v>23</v>
      </c>
      <c r="B29" s="150"/>
      <c r="C29" s="3">
        <v>9000</v>
      </c>
      <c r="D29" s="7">
        <v>3520</v>
      </c>
      <c r="E29" s="9"/>
      <c r="F29" s="125"/>
      <c r="G29" s="126"/>
      <c r="H29" s="126"/>
      <c r="I29" s="127"/>
      <c r="J29" s="3"/>
    </row>
    <row r="30" spans="1:10" x14ac:dyDescent="0.2">
      <c r="A30" s="170" t="s">
        <v>24</v>
      </c>
      <c r="B30" s="171"/>
      <c r="C30" s="3">
        <v>2500</v>
      </c>
      <c r="D30" s="7"/>
      <c r="E30" s="8"/>
      <c r="F30" s="125"/>
      <c r="G30" s="126"/>
      <c r="H30" s="126"/>
      <c r="I30" s="127"/>
      <c r="J30" s="3"/>
    </row>
    <row r="31" spans="1:10" ht="18" customHeight="1" x14ac:dyDescent="0.2">
      <c r="A31" s="124" t="s">
        <v>9</v>
      </c>
      <c r="B31" s="124"/>
      <c r="C31" s="3">
        <v>1600</v>
      </c>
      <c r="D31" s="15">
        <v>868</v>
      </c>
      <c r="E31" s="16"/>
      <c r="F31" s="125"/>
      <c r="G31" s="126"/>
      <c r="H31" s="126"/>
      <c r="I31" s="127"/>
      <c r="J31" s="3"/>
    </row>
    <row r="32" spans="1:10" x14ac:dyDescent="0.2">
      <c r="A32" s="124" t="s">
        <v>25</v>
      </c>
      <c r="B32" s="124"/>
      <c r="C32" s="3">
        <v>4000</v>
      </c>
      <c r="D32" s="15">
        <v>2848</v>
      </c>
      <c r="E32" s="16"/>
      <c r="F32" s="143"/>
      <c r="G32" s="144"/>
      <c r="H32" s="144"/>
      <c r="I32" s="145"/>
      <c r="J32" s="3"/>
    </row>
    <row r="33" spans="1:11" x14ac:dyDescent="0.2">
      <c r="A33" s="150" t="s">
        <v>26</v>
      </c>
      <c r="B33" s="150"/>
      <c r="C33" s="3">
        <v>150</v>
      </c>
      <c r="D33" s="9">
        <v>873</v>
      </c>
      <c r="E33" s="8"/>
      <c r="F33" s="130" t="s">
        <v>209</v>
      </c>
      <c r="G33" s="131"/>
      <c r="H33" s="131"/>
      <c r="I33" s="132"/>
      <c r="J33" s="3"/>
    </row>
    <row r="34" spans="1:11" x14ac:dyDescent="0.2">
      <c r="A34" s="150" t="s">
        <v>27</v>
      </c>
      <c r="B34" s="150"/>
      <c r="C34" s="3">
        <v>1600</v>
      </c>
      <c r="D34" s="7">
        <v>284</v>
      </c>
      <c r="E34" s="8"/>
      <c r="F34" s="130"/>
      <c r="G34" s="131"/>
      <c r="H34" s="131"/>
      <c r="I34" s="132"/>
      <c r="J34" s="3"/>
    </row>
    <row r="35" spans="1:11" x14ac:dyDescent="0.2">
      <c r="A35" s="169" t="s">
        <v>132</v>
      </c>
      <c r="B35" s="129"/>
      <c r="C35" s="3">
        <v>350</v>
      </c>
      <c r="D35" s="7">
        <v>59</v>
      </c>
      <c r="E35" s="9"/>
      <c r="F35" s="130"/>
      <c r="G35" s="131"/>
      <c r="H35" s="131"/>
      <c r="I35" s="132"/>
      <c r="J35" s="3"/>
    </row>
    <row r="36" spans="1:11" x14ac:dyDescent="0.2">
      <c r="A36" s="150" t="s">
        <v>28</v>
      </c>
      <c r="B36" s="150"/>
      <c r="C36" s="3">
        <v>1000</v>
      </c>
      <c r="D36" s="7">
        <v>0</v>
      </c>
      <c r="E36" s="8"/>
      <c r="F36" s="130"/>
      <c r="G36" s="131"/>
      <c r="H36" s="131"/>
      <c r="I36" s="132"/>
      <c r="J36" s="3"/>
    </row>
    <row r="37" spans="1:11" x14ac:dyDescent="0.2">
      <c r="A37" s="150" t="s">
        <v>29</v>
      </c>
      <c r="B37" s="150"/>
      <c r="C37" s="3">
        <v>2200</v>
      </c>
      <c r="D37" s="7">
        <v>508</v>
      </c>
      <c r="E37" s="9"/>
      <c r="F37" s="130"/>
      <c r="G37" s="131"/>
      <c r="H37" s="131"/>
      <c r="I37" s="132"/>
      <c r="J37" s="3"/>
    </row>
    <row r="38" spans="1:11" x14ac:dyDescent="0.2">
      <c r="A38" s="124" t="s">
        <v>8</v>
      </c>
      <c r="B38" s="124"/>
      <c r="C38" s="3">
        <v>800</v>
      </c>
      <c r="D38" s="15">
        <v>302</v>
      </c>
      <c r="E38" s="17"/>
      <c r="F38" s="143"/>
      <c r="G38" s="144"/>
      <c r="H38" s="144"/>
      <c r="I38" s="145"/>
      <c r="J38" s="3"/>
    </row>
    <row r="39" spans="1:11" ht="17" customHeight="1" x14ac:dyDescent="0.2">
      <c r="A39" s="167" t="s">
        <v>30</v>
      </c>
      <c r="B39" s="168"/>
      <c r="C39" s="3">
        <v>300</v>
      </c>
      <c r="D39" s="15">
        <v>0</v>
      </c>
      <c r="E39" s="17"/>
      <c r="F39" s="143"/>
      <c r="G39" s="144"/>
      <c r="H39" s="144"/>
      <c r="I39" s="145"/>
      <c r="J39" s="3"/>
    </row>
    <row r="40" spans="1:11" ht="19" customHeight="1" x14ac:dyDescent="0.2">
      <c r="A40" s="167" t="s">
        <v>31</v>
      </c>
      <c r="B40" s="168"/>
      <c r="C40" s="3">
        <v>4000</v>
      </c>
      <c r="D40" s="15">
        <v>1663</v>
      </c>
      <c r="E40" s="17"/>
      <c r="F40" s="187"/>
      <c r="G40" s="188"/>
      <c r="H40" s="188"/>
      <c r="I40" s="189"/>
      <c r="J40" s="3"/>
    </row>
    <row r="41" spans="1:11" x14ac:dyDescent="0.2">
      <c r="A41" s="150" t="s">
        <v>32</v>
      </c>
      <c r="B41" s="150"/>
      <c r="C41" s="3">
        <v>3500</v>
      </c>
      <c r="D41" s="7">
        <v>0</v>
      </c>
      <c r="E41" s="17"/>
      <c r="F41" s="130"/>
      <c r="G41" s="131"/>
      <c r="H41" s="131"/>
      <c r="I41" s="132"/>
      <c r="J41" s="3"/>
    </row>
    <row r="42" spans="1:11" x14ac:dyDescent="0.2">
      <c r="A42" s="170" t="s">
        <v>133</v>
      </c>
      <c r="B42" s="171"/>
      <c r="C42" s="3">
        <v>5000</v>
      </c>
      <c r="D42" s="7">
        <v>0</v>
      </c>
      <c r="E42" s="17"/>
      <c r="F42" s="130"/>
      <c r="G42" s="131"/>
      <c r="H42" s="131"/>
      <c r="I42" s="132"/>
      <c r="J42" s="3"/>
    </row>
    <row r="43" spans="1:11" x14ac:dyDescent="0.2">
      <c r="A43" s="124" t="s">
        <v>33</v>
      </c>
      <c r="B43" s="124"/>
      <c r="C43" s="3">
        <v>0</v>
      </c>
      <c r="D43" s="15">
        <v>0</v>
      </c>
      <c r="E43" s="3"/>
      <c r="F43" s="130"/>
      <c r="G43" s="131"/>
      <c r="H43" s="131"/>
      <c r="I43" s="132"/>
      <c r="J43" s="3"/>
    </row>
    <row r="44" spans="1:11" x14ac:dyDescent="0.2">
      <c r="A44" s="150" t="s">
        <v>34</v>
      </c>
      <c r="B44" s="150"/>
      <c r="C44" s="3">
        <v>1000</v>
      </c>
      <c r="D44" s="7">
        <v>0</v>
      </c>
      <c r="E44" s="8"/>
      <c r="F44" s="130"/>
      <c r="G44" s="131"/>
      <c r="H44" s="131"/>
      <c r="I44" s="132"/>
      <c r="J44" s="3"/>
    </row>
    <row r="45" spans="1:11" x14ac:dyDescent="0.2">
      <c r="A45" s="150" t="s">
        <v>35</v>
      </c>
      <c r="B45" s="150"/>
      <c r="C45" s="3">
        <v>1750</v>
      </c>
      <c r="D45" s="9">
        <v>1896</v>
      </c>
      <c r="E45" s="8"/>
      <c r="F45" s="130" t="s">
        <v>208</v>
      </c>
      <c r="G45" s="131"/>
      <c r="H45" s="131"/>
      <c r="I45" s="132"/>
      <c r="J45" s="3"/>
    </row>
    <row r="46" spans="1:11" x14ac:dyDescent="0.2">
      <c r="A46" s="150" t="s">
        <v>36</v>
      </c>
      <c r="B46" s="150"/>
      <c r="C46" s="3">
        <v>250</v>
      </c>
      <c r="D46" s="7">
        <v>0</v>
      </c>
      <c r="E46" s="9"/>
      <c r="F46" s="130"/>
      <c r="G46" s="131"/>
      <c r="H46" s="131"/>
      <c r="I46" s="132"/>
      <c r="J46" s="3"/>
    </row>
    <row r="47" spans="1:11" x14ac:dyDescent="0.2">
      <c r="A47" s="150" t="s">
        <v>192</v>
      </c>
      <c r="B47" s="150"/>
      <c r="C47" s="3">
        <v>1000</v>
      </c>
      <c r="D47" s="7">
        <v>0</v>
      </c>
      <c r="E47" s="8"/>
      <c r="F47" s="130"/>
      <c r="G47" s="131"/>
      <c r="H47" s="131"/>
      <c r="I47" s="132"/>
      <c r="J47" s="3"/>
      <c r="K47" t="s">
        <v>193</v>
      </c>
    </row>
    <row r="48" spans="1:11" x14ac:dyDescent="0.2">
      <c r="A48" s="124" t="s">
        <v>37</v>
      </c>
      <c r="B48" s="124"/>
      <c r="C48" s="3">
        <v>3000</v>
      </c>
      <c r="D48" s="15">
        <v>0</v>
      </c>
      <c r="E48" s="16"/>
      <c r="F48" s="151"/>
      <c r="G48" s="152"/>
      <c r="H48" s="152"/>
      <c r="I48" s="153"/>
      <c r="J48" s="3"/>
    </row>
    <row r="49" spans="1:11" x14ac:dyDescent="0.2">
      <c r="A49" s="166" t="s">
        <v>38</v>
      </c>
      <c r="B49" s="166"/>
      <c r="C49" s="11">
        <f>SUM(C21:C48)</f>
        <v>90600</v>
      </c>
      <c r="D49" s="12">
        <f>SUM(D21:D48)</f>
        <v>25334</v>
      </c>
      <c r="E49" s="13">
        <f>SUM(E21:E48)</f>
        <v>0</v>
      </c>
      <c r="F49" s="18"/>
      <c r="G49" s="14"/>
      <c r="H49" s="14"/>
      <c r="I49" s="9">
        <f>SUM(I21:I47)</f>
        <v>0</v>
      </c>
      <c r="J49" s="8">
        <f>SUM(J21:J48)</f>
        <v>0</v>
      </c>
    </row>
    <row r="50" spans="1:11" x14ac:dyDescent="0.2">
      <c r="A50" s="3"/>
      <c r="B50" s="3"/>
      <c r="C50" s="19"/>
      <c r="D50" s="20"/>
      <c r="E50" s="21"/>
      <c r="F50" s="10"/>
      <c r="G50" s="22"/>
      <c r="H50" s="22"/>
      <c r="I50" s="22"/>
      <c r="J50" s="76"/>
    </row>
    <row r="53" spans="1:11" x14ac:dyDescent="0.2">
      <c r="C53" s="27" t="s">
        <v>169</v>
      </c>
      <c r="D53" s="156" t="s">
        <v>39</v>
      </c>
      <c r="E53" s="157"/>
      <c r="F53" s="26" t="s">
        <v>183</v>
      </c>
      <c r="H53" s="68"/>
      <c r="I53" s="141"/>
      <c r="J53" s="141"/>
      <c r="K53" s="68"/>
    </row>
    <row r="54" spans="1:11" x14ac:dyDescent="0.2">
      <c r="C54" s="29">
        <v>88000</v>
      </c>
      <c r="D54" s="154" t="s">
        <v>40</v>
      </c>
      <c r="E54" s="155"/>
      <c r="F54" s="28">
        <v>84000</v>
      </c>
      <c r="H54" s="83"/>
      <c r="I54" s="142"/>
      <c r="J54" s="142"/>
      <c r="K54" s="83"/>
    </row>
    <row r="55" spans="1:11" x14ac:dyDescent="0.2">
      <c r="A55" s="158"/>
      <c r="B55" s="159"/>
      <c r="C55" s="29">
        <v>88000</v>
      </c>
      <c r="D55" s="154" t="s">
        <v>41</v>
      </c>
      <c r="E55" s="155"/>
      <c r="F55" s="28">
        <v>84000</v>
      </c>
      <c r="G55" s="25"/>
      <c r="H55" s="83"/>
      <c r="I55" s="142"/>
      <c r="J55" s="142"/>
      <c r="K55" s="83"/>
    </row>
    <row r="56" spans="1:11" x14ac:dyDescent="0.2">
      <c r="A56" s="160"/>
      <c r="B56" s="161"/>
      <c r="C56" s="31">
        <v>674.2</v>
      </c>
      <c r="D56" s="154" t="s">
        <v>42</v>
      </c>
      <c r="E56" s="155"/>
      <c r="F56" s="30">
        <v>677.88</v>
      </c>
      <c r="G56" s="32"/>
      <c r="H56" s="85"/>
      <c r="I56" s="142"/>
      <c r="J56" s="142"/>
    </row>
    <row r="57" spans="1:11" x14ac:dyDescent="0.2">
      <c r="C57" s="82">
        <f>C55/C56</f>
        <v>130.52506674577276</v>
      </c>
      <c r="D57" s="154" t="s">
        <v>43</v>
      </c>
      <c r="E57" s="155"/>
      <c r="F57" s="33">
        <f>F55/F56</f>
        <v>123.91573729863693</v>
      </c>
      <c r="H57" s="24"/>
      <c r="K57" s="24"/>
    </row>
    <row r="58" spans="1:11" x14ac:dyDescent="0.2">
      <c r="C58" s="82">
        <v>6.61</v>
      </c>
      <c r="D58" s="154" t="s">
        <v>44</v>
      </c>
      <c r="E58" s="155"/>
      <c r="F58" s="33"/>
      <c r="H58" s="24"/>
      <c r="I58" s="142"/>
      <c r="J58" s="142"/>
      <c r="K58" s="24"/>
    </row>
    <row r="59" spans="1:11" x14ac:dyDescent="0.2">
      <c r="C59" s="34"/>
      <c r="D59" s="156"/>
      <c r="E59" s="157"/>
      <c r="F59" s="33"/>
      <c r="I59" s="84"/>
      <c r="J59" s="84"/>
      <c r="K59" s="24"/>
    </row>
    <row r="60" spans="1:11" x14ac:dyDescent="0.2">
      <c r="C60" s="82">
        <f>+C58/12</f>
        <v>0.5508333333333334</v>
      </c>
      <c r="D60" s="154" t="s">
        <v>45</v>
      </c>
      <c r="E60" s="155"/>
      <c r="F60" s="33"/>
      <c r="H60" s="24"/>
      <c r="I60" s="142"/>
      <c r="J60" s="142"/>
    </row>
    <row r="61" spans="1:11" x14ac:dyDescent="0.2">
      <c r="C61" s="82">
        <f>(C54-F54)/C54*100</f>
        <v>4.5454545454545459</v>
      </c>
      <c r="D61" s="154" t="s">
        <v>46</v>
      </c>
      <c r="E61" s="155"/>
      <c r="F61" s="33"/>
      <c r="H61" s="24"/>
      <c r="K61" s="24"/>
    </row>
  </sheetData>
  <mergeCells count="114">
    <mergeCell ref="C26:C27"/>
    <mergeCell ref="F42:I42"/>
    <mergeCell ref="F29:I29"/>
    <mergeCell ref="F30:I30"/>
    <mergeCell ref="F31:I31"/>
    <mergeCell ref="F32:I32"/>
    <mergeCell ref="F33:I33"/>
    <mergeCell ref="F38:I38"/>
    <mergeCell ref="F39:I39"/>
    <mergeCell ref="F40:I40"/>
    <mergeCell ref="F41:I41"/>
    <mergeCell ref="F34:I34"/>
    <mergeCell ref="F35:I35"/>
    <mergeCell ref="F36:I36"/>
    <mergeCell ref="F37:I37"/>
    <mergeCell ref="E26:E27"/>
    <mergeCell ref="D26:D27"/>
    <mergeCell ref="F18:I18"/>
    <mergeCell ref="F19:I19"/>
    <mergeCell ref="F20:I20"/>
    <mergeCell ref="F28:I28"/>
    <mergeCell ref="A8:B8"/>
    <mergeCell ref="A9:B9"/>
    <mergeCell ref="A10:B10"/>
    <mergeCell ref="A13:B13"/>
    <mergeCell ref="A24:B24"/>
    <mergeCell ref="A25:B25"/>
    <mergeCell ref="A26:B26"/>
    <mergeCell ref="F8:I8"/>
    <mergeCell ref="F9:I9"/>
    <mergeCell ref="F10:I10"/>
    <mergeCell ref="F12:I12"/>
    <mergeCell ref="A18:B18"/>
    <mergeCell ref="A12:B12"/>
    <mergeCell ref="A16:B16"/>
    <mergeCell ref="A14:B14"/>
    <mergeCell ref="A17:B17"/>
    <mergeCell ref="F13:I13"/>
    <mergeCell ref="F11:I11"/>
    <mergeCell ref="F24:I24"/>
    <mergeCell ref="A28:B28"/>
    <mergeCell ref="A1:I1"/>
    <mergeCell ref="C2:E2"/>
    <mergeCell ref="F3:I3"/>
    <mergeCell ref="A5:B5"/>
    <mergeCell ref="A6:B6"/>
    <mergeCell ref="F5:I5"/>
    <mergeCell ref="F6:I6"/>
    <mergeCell ref="F4:I4"/>
    <mergeCell ref="F2:I2"/>
    <mergeCell ref="F7:I7"/>
    <mergeCell ref="F14:I14"/>
    <mergeCell ref="F16:I16"/>
    <mergeCell ref="F17:I17"/>
    <mergeCell ref="A7:B7"/>
    <mergeCell ref="A49:B49"/>
    <mergeCell ref="A39:B39"/>
    <mergeCell ref="A35:B35"/>
    <mergeCell ref="A29:B29"/>
    <mergeCell ref="A31:B31"/>
    <mergeCell ref="A40:B40"/>
    <mergeCell ref="A41:B41"/>
    <mergeCell ref="A30:B30"/>
    <mergeCell ref="A38:B38"/>
    <mergeCell ref="A43:B43"/>
    <mergeCell ref="A32:B32"/>
    <mergeCell ref="A33:B33"/>
    <mergeCell ref="A34:B34"/>
    <mergeCell ref="A36:B36"/>
    <mergeCell ref="A37:B37"/>
    <mergeCell ref="A42:B42"/>
    <mergeCell ref="F43:I43"/>
    <mergeCell ref="A11:B11"/>
    <mergeCell ref="F45:I45"/>
    <mergeCell ref="F46:I46"/>
    <mergeCell ref="D61:E61"/>
    <mergeCell ref="D53:E53"/>
    <mergeCell ref="D54:E54"/>
    <mergeCell ref="A55:B55"/>
    <mergeCell ref="D55:E55"/>
    <mergeCell ref="A56:B56"/>
    <mergeCell ref="D56:E56"/>
    <mergeCell ref="D57:E57"/>
    <mergeCell ref="D58:E58"/>
    <mergeCell ref="D60:E60"/>
    <mergeCell ref="I55:J55"/>
    <mergeCell ref="I56:J56"/>
    <mergeCell ref="I58:J58"/>
    <mergeCell ref="I60:J60"/>
    <mergeCell ref="D59:E59"/>
    <mergeCell ref="A27:B27"/>
    <mergeCell ref="F23:I23"/>
    <mergeCell ref="A15:B15"/>
    <mergeCell ref="F15:I15"/>
    <mergeCell ref="J26:J27"/>
    <mergeCell ref="F26:I27"/>
    <mergeCell ref="I53:J53"/>
    <mergeCell ref="I54:J54"/>
    <mergeCell ref="F21:I21"/>
    <mergeCell ref="F22:I22"/>
    <mergeCell ref="F25:I25"/>
    <mergeCell ref="A19:B19"/>
    <mergeCell ref="A20:B20"/>
    <mergeCell ref="A21:B21"/>
    <mergeCell ref="A22:B22"/>
    <mergeCell ref="A23:B23"/>
    <mergeCell ref="F48:I48"/>
    <mergeCell ref="A44:B44"/>
    <mergeCell ref="A45:B45"/>
    <mergeCell ref="A46:B46"/>
    <mergeCell ref="A47:B47"/>
    <mergeCell ref="A48:B48"/>
    <mergeCell ref="F47:I47"/>
    <mergeCell ref="F44:I44"/>
  </mergeCell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7154-9462-3743-A21B-A8BAF4A2F171}">
  <dimension ref="A1:L175"/>
  <sheetViews>
    <sheetView topLeftCell="A27" workbookViewId="0">
      <selection activeCell="A11" sqref="A11"/>
    </sheetView>
  </sheetViews>
  <sheetFormatPr baseColWidth="10" defaultColWidth="11" defaultRowHeight="16" x14ac:dyDescent="0.2"/>
  <cols>
    <col min="1" max="1" width="56.6640625" customWidth="1"/>
  </cols>
  <sheetData>
    <row r="1" spans="1:5" x14ac:dyDescent="0.2">
      <c r="A1" t="s">
        <v>47</v>
      </c>
    </row>
    <row r="3" spans="1:5" x14ac:dyDescent="0.2">
      <c r="A3" s="38" t="s">
        <v>48</v>
      </c>
      <c r="B3" s="249">
        <v>28980.45</v>
      </c>
      <c r="C3" s="250"/>
      <c r="D3" s="254" t="s">
        <v>49</v>
      </c>
      <c r="E3" s="250"/>
    </row>
    <row r="4" spans="1:5" x14ac:dyDescent="0.2">
      <c r="A4" s="39" t="s">
        <v>50</v>
      </c>
      <c r="B4" s="251"/>
      <c r="C4" s="252"/>
      <c r="D4" s="255"/>
      <c r="E4" s="252"/>
    </row>
    <row r="5" spans="1:5" x14ac:dyDescent="0.2">
      <c r="A5" s="38" t="s">
        <v>51</v>
      </c>
      <c r="B5" s="253">
        <v>77550</v>
      </c>
      <c r="C5" s="250"/>
      <c r="D5" s="249" t="s">
        <v>52</v>
      </c>
      <c r="E5" s="250"/>
    </row>
    <row r="6" spans="1:5" x14ac:dyDescent="0.2">
      <c r="A6" s="39" t="s">
        <v>53</v>
      </c>
      <c r="B6" s="251"/>
      <c r="C6" s="252"/>
      <c r="D6" s="251"/>
      <c r="E6" s="252"/>
    </row>
    <row r="7" spans="1:5" x14ac:dyDescent="0.2">
      <c r="A7" s="40" t="s">
        <v>54</v>
      </c>
      <c r="B7" s="200">
        <v>41495.629999999997</v>
      </c>
      <c r="C7" s="246"/>
      <c r="D7" s="246" t="s">
        <v>55</v>
      </c>
      <c r="E7" s="246"/>
    </row>
    <row r="8" spans="1:5" x14ac:dyDescent="0.2">
      <c r="A8" s="41" t="s">
        <v>56</v>
      </c>
      <c r="B8" s="260">
        <v>1964.16</v>
      </c>
      <c r="C8" s="173"/>
      <c r="D8" s="173" t="s">
        <v>57</v>
      </c>
      <c r="E8" s="173"/>
    </row>
    <row r="9" spans="1:5" x14ac:dyDescent="0.2">
      <c r="A9" s="42" t="s">
        <v>58</v>
      </c>
      <c r="B9" s="260">
        <v>207964.61</v>
      </c>
      <c r="C9" s="260"/>
      <c r="D9" s="173" t="s">
        <v>59</v>
      </c>
      <c r="E9" s="173"/>
    </row>
    <row r="10" spans="1:5" x14ac:dyDescent="0.2">
      <c r="A10" s="42" t="s">
        <v>60</v>
      </c>
      <c r="B10" s="260">
        <v>2363.54</v>
      </c>
      <c r="C10" s="260"/>
      <c r="D10" s="173" t="s">
        <v>61</v>
      </c>
      <c r="E10" s="173"/>
    </row>
    <row r="11" spans="1:5" ht="33" customHeight="1" x14ac:dyDescent="0.2">
      <c r="A11" s="43" t="s">
        <v>62</v>
      </c>
      <c r="B11" s="256">
        <v>2367.94</v>
      </c>
      <c r="C11" s="257"/>
      <c r="D11" s="249" t="s">
        <v>63</v>
      </c>
      <c r="E11" s="250"/>
    </row>
    <row r="12" spans="1:5" ht="34" x14ac:dyDescent="0.2">
      <c r="A12" s="43" t="s">
        <v>64</v>
      </c>
      <c r="B12" s="256">
        <v>141.25</v>
      </c>
      <c r="C12" s="257"/>
      <c r="D12" s="251"/>
      <c r="E12" s="252"/>
    </row>
    <row r="13" spans="1:5" x14ac:dyDescent="0.2">
      <c r="A13" s="42" t="s">
        <v>65</v>
      </c>
      <c r="B13" s="200">
        <v>705.82</v>
      </c>
      <c r="C13" s="200"/>
      <c r="D13" s="246" t="s">
        <v>66</v>
      </c>
      <c r="E13" s="246"/>
    </row>
    <row r="14" spans="1:5" x14ac:dyDescent="0.2">
      <c r="A14" s="42" t="s">
        <v>168</v>
      </c>
      <c r="B14" s="200">
        <v>1500</v>
      </c>
      <c r="C14" s="200"/>
      <c r="D14" s="246" t="s">
        <v>167</v>
      </c>
      <c r="E14" s="246"/>
    </row>
    <row r="15" spans="1:5" x14ac:dyDescent="0.2">
      <c r="A15" s="42" t="s">
        <v>184</v>
      </c>
      <c r="B15" s="200">
        <v>1500</v>
      </c>
      <c r="C15" s="200"/>
      <c r="D15" s="37"/>
      <c r="E15" s="37"/>
    </row>
    <row r="16" spans="1:5" x14ac:dyDescent="0.2">
      <c r="A16" s="44"/>
      <c r="B16" s="45"/>
      <c r="C16" s="45"/>
      <c r="D16" s="37"/>
      <c r="E16" s="37"/>
    </row>
    <row r="17" spans="1:8" ht="17" x14ac:dyDescent="0.2">
      <c r="A17" s="46" t="s">
        <v>67</v>
      </c>
      <c r="B17" s="261">
        <f>SUM(B3:C14)</f>
        <v>365033.39999999997</v>
      </c>
      <c r="C17" s="261"/>
      <c r="D17" s="37"/>
      <c r="E17" s="37"/>
    </row>
    <row r="19" spans="1:8" ht="17" thickBot="1" x14ac:dyDescent="0.25">
      <c r="D19" s="23"/>
    </row>
    <row r="20" spans="1:8" x14ac:dyDescent="0.2">
      <c r="A20" s="48" t="s">
        <v>68</v>
      </c>
      <c r="B20" s="258">
        <v>100000</v>
      </c>
      <c r="C20" s="259"/>
      <c r="D20" s="49"/>
      <c r="E20" s="50"/>
    </row>
    <row r="21" spans="1:8" x14ac:dyDescent="0.2">
      <c r="A21" s="51" t="s">
        <v>69</v>
      </c>
      <c r="B21" s="141"/>
      <c r="C21" s="215"/>
      <c r="E21" s="52"/>
    </row>
    <row r="22" spans="1:8" x14ac:dyDescent="0.2">
      <c r="A22" s="56" t="s">
        <v>70</v>
      </c>
      <c r="B22" s="210">
        <v>1048</v>
      </c>
      <c r="C22" s="210"/>
      <c r="D22" s="202">
        <v>44287</v>
      </c>
      <c r="E22" s="219"/>
      <c r="F22" s="55"/>
      <c r="G22" s="36"/>
      <c r="H22" s="36"/>
    </row>
    <row r="23" spans="1:8" x14ac:dyDescent="0.2">
      <c r="A23" s="58" t="s">
        <v>71</v>
      </c>
      <c r="B23" s="229"/>
      <c r="C23" s="230"/>
      <c r="D23" s="231"/>
      <c r="E23" s="232"/>
      <c r="F23" s="233">
        <f>B22</f>
        <v>1048</v>
      </c>
      <c r="G23" s="234"/>
      <c r="H23" s="36"/>
    </row>
    <row r="24" spans="1:8" x14ac:dyDescent="0.2">
      <c r="A24" s="56" t="s">
        <v>72</v>
      </c>
      <c r="B24" s="210">
        <v>3125</v>
      </c>
      <c r="C24" s="210"/>
      <c r="D24" s="202">
        <v>44835</v>
      </c>
      <c r="E24" s="219"/>
    </row>
    <row r="25" spans="1:8" x14ac:dyDescent="0.2">
      <c r="A25" s="56" t="s">
        <v>73</v>
      </c>
      <c r="B25" s="210">
        <v>45</v>
      </c>
      <c r="C25" s="210"/>
      <c r="D25" s="202">
        <v>44958</v>
      </c>
      <c r="E25" s="219"/>
    </row>
    <row r="26" spans="1:8" x14ac:dyDescent="0.2">
      <c r="A26" s="58" t="s">
        <v>74</v>
      </c>
      <c r="B26" s="222"/>
      <c r="C26" s="223"/>
      <c r="D26" s="224"/>
      <c r="E26" s="225"/>
      <c r="F26" s="221">
        <f>SUM(B24:C25)</f>
        <v>3170</v>
      </c>
      <c r="G26" s="204"/>
    </row>
    <row r="27" spans="1:8" x14ac:dyDescent="0.2">
      <c r="A27" s="56" t="s">
        <v>75</v>
      </c>
      <c r="B27" s="210">
        <v>375</v>
      </c>
      <c r="C27" s="210"/>
      <c r="D27" s="202">
        <v>45078</v>
      </c>
      <c r="E27" s="219"/>
    </row>
    <row r="28" spans="1:8" x14ac:dyDescent="0.2">
      <c r="A28" s="56" t="s">
        <v>76</v>
      </c>
      <c r="B28" s="210">
        <v>29.04</v>
      </c>
      <c r="C28" s="210"/>
      <c r="D28" s="202">
        <v>45108</v>
      </c>
      <c r="E28" s="219"/>
    </row>
    <row r="29" spans="1:8" x14ac:dyDescent="0.2">
      <c r="A29" s="56" t="s">
        <v>77</v>
      </c>
      <c r="B29" s="210">
        <v>2520</v>
      </c>
      <c r="C29" s="210"/>
      <c r="D29" s="202">
        <v>45139</v>
      </c>
      <c r="E29" s="219"/>
    </row>
    <row r="30" spans="1:8" x14ac:dyDescent="0.2">
      <c r="A30" s="56" t="s">
        <v>77</v>
      </c>
      <c r="B30" s="210">
        <v>3779.46</v>
      </c>
      <c r="C30" s="210"/>
      <c r="D30" s="202">
        <v>45200</v>
      </c>
      <c r="E30" s="219"/>
    </row>
    <row r="31" spans="1:8" x14ac:dyDescent="0.2">
      <c r="A31" s="56" t="s">
        <v>78</v>
      </c>
      <c r="B31" s="210">
        <v>60</v>
      </c>
      <c r="C31" s="210"/>
      <c r="D31" s="202">
        <v>45200</v>
      </c>
      <c r="E31" s="220"/>
    </row>
    <row r="32" spans="1:8" x14ac:dyDescent="0.2">
      <c r="A32" s="56" t="s">
        <v>79</v>
      </c>
      <c r="B32" s="210">
        <v>600</v>
      </c>
      <c r="C32" s="210"/>
      <c r="D32" s="202">
        <v>45231</v>
      </c>
      <c r="E32" s="220"/>
    </row>
    <row r="33" spans="1:7" x14ac:dyDescent="0.2">
      <c r="A33" s="56" t="s">
        <v>80</v>
      </c>
      <c r="B33" s="210">
        <v>285</v>
      </c>
      <c r="C33" s="210"/>
      <c r="D33" s="202">
        <v>45261</v>
      </c>
      <c r="E33" s="220"/>
    </row>
    <row r="34" spans="1:7" x14ac:dyDescent="0.2">
      <c r="A34" s="56" t="s">
        <v>77</v>
      </c>
      <c r="B34" s="210">
        <v>3544</v>
      </c>
      <c r="C34" s="210"/>
      <c r="D34" s="202">
        <v>45292</v>
      </c>
      <c r="E34" s="220"/>
    </row>
    <row r="35" spans="1:7" x14ac:dyDescent="0.2">
      <c r="A35" s="56" t="s">
        <v>81</v>
      </c>
      <c r="B35" s="210">
        <v>50</v>
      </c>
      <c r="C35" s="210"/>
      <c r="D35" s="202">
        <v>45292</v>
      </c>
      <c r="E35" s="219"/>
    </row>
    <row r="36" spans="1:7" x14ac:dyDescent="0.2">
      <c r="A36" s="56" t="s">
        <v>77</v>
      </c>
      <c r="B36" s="210">
        <v>864</v>
      </c>
      <c r="C36" s="210"/>
      <c r="D36" s="202">
        <v>45352</v>
      </c>
      <c r="E36" s="219"/>
    </row>
    <row r="37" spans="1:7" x14ac:dyDescent="0.2">
      <c r="A37" s="58" t="s">
        <v>82</v>
      </c>
      <c r="B37" s="210"/>
      <c r="C37" s="210"/>
      <c r="D37" s="173"/>
      <c r="E37" s="219"/>
      <c r="F37" s="221">
        <f>SUM(B27:C36)</f>
        <v>12106.5</v>
      </c>
      <c r="G37" s="204"/>
    </row>
    <row r="38" spans="1:7" x14ac:dyDescent="0.2">
      <c r="A38" s="56" t="s">
        <v>77</v>
      </c>
      <c r="B38" s="210">
        <v>1124</v>
      </c>
      <c r="C38" s="210"/>
      <c r="D38" s="202">
        <v>45444</v>
      </c>
      <c r="E38" s="219"/>
      <c r="F38" s="69"/>
      <c r="G38" s="70"/>
    </row>
    <row r="39" spans="1:7" x14ac:dyDescent="0.2">
      <c r="A39" s="56" t="s">
        <v>83</v>
      </c>
      <c r="B39" s="210">
        <v>1760</v>
      </c>
      <c r="C39" s="210"/>
      <c r="D39" s="202">
        <v>45566</v>
      </c>
      <c r="E39" s="219"/>
      <c r="F39" s="69"/>
      <c r="G39" s="70"/>
    </row>
    <row r="40" spans="1:7" x14ac:dyDescent="0.2">
      <c r="A40" s="56" t="s">
        <v>77</v>
      </c>
      <c r="B40" s="210">
        <v>4550</v>
      </c>
      <c r="C40" s="210"/>
      <c r="D40" s="202">
        <v>45566</v>
      </c>
      <c r="E40" s="219"/>
      <c r="F40" s="69"/>
      <c r="G40" s="70"/>
    </row>
    <row r="41" spans="1:7" x14ac:dyDescent="0.2">
      <c r="A41" s="56" t="s">
        <v>83</v>
      </c>
      <c r="B41" s="210">
        <v>660</v>
      </c>
      <c r="C41" s="210"/>
      <c r="D41" s="202">
        <v>45627</v>
      </c>
      <c r="E41" s="219"/>
    </row>
    <row r="42" spans="1:7" x14ac:dyDescent="0.2">
      <c r="A42" s="58" t="s">
        <v>126</v>
      </c>
      <c r="B42" s="210"/>
      <c r="C42" s="210"/>
      <c r="D42" s="173"/>
      <c r="E42" s="146"/>
      <c r="F42" s="203">
        <f>SUM(B38:C41)</f>
        <v>8094</v>
      </c>
      <c r="G42" s="228"/>
    </row>
    <row r="43" spans="1:7" x14ac:dyDescent="0.2">
      <c r="A43" s="58"/>
      <c r="B43" s="210"/>
      <c r="C43" s="210"/>
      <c r="D43" s="173"/>
      <c r="E43" s="219"/>
      <c r="F43" s="69"/>
      <c r="G43" s="70"/>
    </row>
    <row r="44" spans="1:7" x14ac:dyDescent="0.2">
      <c r="A44" s="58"/>
      <c r="B44" s="194"/>
      <c r="C44" s="195"/>
      <c r="D44" s="146"/>
      <c r="E44" s="226"/>
      <c r="F44" s="69"/>
      <c r="G44" s="70"/>
    </row>
    <row r="45" spans="1:7" x14ac:dyDescent="0.2">
      <c r="A45" s="58"/>
      <c r="B45" s="210"/>
      <c r="C45" s="210"/>
      <c r="D45" s="173"/>
      <c r="E45" s="219"/>
    </row>
    <row r="46" spans="1:7" ht="17" thickBot="1" x14ac:dyDescent="0.25">
      <c r="A46" s="60" t="s">
        <v>84</v>
      </c>
      <c r="B46" s="235">
        <f>SUM(B22:C45)</f>
        <v>24418.5</v>
      </c>
      <c r="C46" s="236"/>
      <c r="D46" s="141"/>
      <c r="E46" s="215"/>
    </row>
    <row r="47" spans="1:7" ht="17" thickBot="1" x14ac:dyDescent="0.25">
      <c r="A47" s="59" t="s">
        <v>85</v>
      </c>
      <c r="B47" s="216">
        <f>SUM(B20-B46)</f>
        <v>75581.5</v>
      </c>
      <c r="C47" s="242"/>
      <c r="D47" s="237"/>
      <c r="E47" s="238"/>
    </row>
    <row r="48" spans="1:7" x14ac:dyDescent="0.2">
      <c r="B48" s="243"/>
      <c r="C48" s="141"/>
      <c r="D48" s="141"/>
      <c r="E48" s="141"/>
    </row>
    <row r="49" spans="1:12" x14ac:dyDescent="0.2">
      <c r="B49" s="205"/>
      <c r="C49" s="205"/>
      <c r="D49" s="227"/>
      <c r="E49" s="141"/>
    </row>
    <row r="50" spans="1:12" x14ac:dyDescent="0.2">
      <c r="B50" s="205"/>
      <c r="C50" s="205"/>
      <c r="D50" s="227"/>
      <c r="E50" s="141"/>
    </row>
    <row r="51" spans="1:12" x14ac:dyDescent="0.2">
      <c r="B51" s="205"/>
      <c r="C51" s="205"/>
      <c r="D51" s="227"/>
      <c r="E51" s="141"/>
    </row>
    <row r="52" spans="1:12" x14ac:dyDescent="0.2">
      <c r="B52" s="205"/>
      <c r="C52" s="205"/>
      <c r="D52" s="227"/>
      <c r="E52" s="141"/>
    </row>
    <row r="53" spans="1:12" ht="17" thickBot="1" x14ac:dyDescent="0.25">
      <c r="B53" s="205"/>
      <c r="C53" s="205"/>
      <c r="D53" s="227"/>
      <c r="E53" s="141"/>
    </row>
    <row r="54" spans="1:12" x14ac:dyDescent="0.2">
      <c r="A54" s="48" t="s">
        <v>86</v>
      </c>
      <c r="B54" s="239">
        <v>100000</v>
      </c>
      <c r="C54" s="240"/>
      <c r="D54" s="49"/>
      <c r="E54" s="50"/>
      <c r="I54" s="205"/>
      <c r="J54" s="205"/>
      <c r="K54" s="227"/>
      <c r="L54" s="141"/>
    </row>
    <row r="55" spans="1:12" x14ac:dyDescent="0.2">
      <c r="A55" s="51" t="s">
        <v>69</v>
      </c>
      <c r="B55" s="241"/>
      <c r="C55" s="241"/>
      <c r="D55" s="244"/>
      <c r="E55" s="245"/>
      <c r="I55" s="205"/>
      <c r="J55" s="205"/>
      <c r="K55" s="227"/>
      <c r="L55" s="141"/>
    </row>
    <row r="56" spans="1:12" x14ac:dyDescent="0.2">
      <c r="A56" s="56" t="s">
        <v>87</v>
      </c>
      <c r="B56" s="210">
        <v>1200</v>
      </c>
      <c r="C56" s="210"/>
      <c r="D56" s="202">
        <v>44166</v>
      </c>
      <c r="E56" s="219"/>
      <c r="I56" s="205"/>
      <c r="J56" s="205"/>
      <c r="K56" s="227"/>
      <c r="L56" s="141"/>
    </row>
    <row r="57" spans="1:12" x14ac:dyDescent="0.2">
      <c r="A57" s="58" t="s">
        <v>88</v>
      </c>
      <c r="B57" s="71"/>
      <c r="C57" s="72"/>
      <c r="D57" s="73"/>
      <c r="E57" s="61"/>
      <c r="F57" s="221">
        <f>B56</f>
        <v>1200</v>
      </c>
      <c r="G57" s="204"/>
      <c r="I57" s="205"/>
      <c r="J57" s="205"/>
      <c r="K57" s="227"/>
      <c r="L57" s="141"/>
    </row>
    <row r="58" spans="1:12" x14ac:dyDescent="0.2">
      <c r="A58" s="56" t="s">
        <v>89</v>
      </c>
      <c r="B58" s="194">
        <v>1157.5999999999999</v>
      </c>
      <c r="C58" s="195"/>
      <c r="D58" s="196">
        <v>44287</v>
      </c>
      <c r="E58" s="218"/>
      <c r="I58" s="205"/>
      <c r="J58" s="205"/>
      <c r="K58" s="227"/>
      <c r="L58" s="227"/>
    </row>
    <row r="59" spans="1:12" x14ac:dyDescent="0.2">
      <c r="A59" s="56" t="s">
        <v>90</v>
      </c>
      <c r="B59" s="210">
        <v>110</v>
      </c>
      <c r="C59" s="210"/>
      <c r="D59" s="202">
        <v>44501</v>
      </c>
      <c r="E59" s="219"/>
      <c r="I59" s="205"/>
      <c r="J59" s="205"/>
      <c r="K59" s="141"/>
      <c r="L59" s="141"/>
    </row>
    <row r="60" spans="1:12" x14ac:dyDescent="0.2">
      <c r="A60" s="56" t="s">
        <v>91</v>
      </c>
      <c r="B60" s="210">
        <v>2103.35</v>
      </c>
      <c r="C60" s="210"/>
      <c r="D60" s="202">
        <v>44593</v>
      </c>
      <c r="E60" s="219"/>
      <c r="I60" s="205"/>
      <c r="J60" s="205"/>
      <c r="K60" s="141"/>
      <c r="L60" s="141"/>
    </row>
    <row r="61" spans="1:12" x14ac:dyDescent="0.2">
      <c r="A61" s="58" t="s">
        <v>71</v>
      </c>
      <c r="B61" s="222"/>
      <c r="C61" s="223"/>
      <c r="D61" s="224"/>
      <c r="E61" s="225"/>
      <c r="F61" s="221">
        <f>SUM(B58:C60)</f>
        <v>3370.95</v>
      </c>
      <c r="G61" s="204"/>
      <c r="I61" s="205"/>
      <c r="J61" s="205"/>
      <c r="K61" s="141"/>
      <c r="L61" s="141"/>
    </row>
    <row r="62" spans="1:12" x14ac:dyDescent="0.2">
      <c r="A62" s="56" t="s">
        <v>92</v>
      </c>
      <c r="B62" s="194">
        <v>625</v>
      </c>
      <c r="C62" s="195"/>
      <c r="D62" s="196">
        <v>44713</v>
      </c>
      <c r="E62" s="218"/>
      <c r="F62" s="69"/>
      <c r="G62" s="70"/>
      <c r="I62" s="67"/>
      <c r="J62" s="67"/>
      <c r="K62" s="68"/>
      <c r="L62" s="68"/>
    </row>
    <row r="63" spans="1:12" x14ac:dyDescent="0.2">
      <c r="A63" s="56" t="s">
        <v>92</v>
      </c>
      <c r="B63" s="210">
        <v>1442.5</v>
      </c>
      <c r="C63" s="210"/>
      <c r="D63" s="202">
        <v>44713</v>
      </c>
      <c r="E63" s="219"/>
      <c r="I63" s="205"/>
      <c r="J63" s="205"/>
      <c r="K63" s="141"/>
      <c r="L63" s="141"/>
    </row>
    <row r="64" spans="1:12" x14ac:dyDescent="0.2">
      <c r="A64" s="56" t="s">
        <v>93</v>
      </c>
      <c r="B64" s="194">
        <v>338.5</v>
      </c>
      <c r="C64" s="195"/>
      <c r="D64" s="196">
        <v>44835</v>
      </c>
      <c r="E64" s="218"/>
      <c r="I64" s="67"/>
      <c r="J64" s="67"/>
      <c r="K64" s="68"/>
      <c r="L64" s="68"/>
    </row>
    <row r="65" spans="1:10" x14ac:dyDescent="0.2">
      <c r="A65" s="56" t="s">
        <v>94</v>
      </c>
      <c r="B65" s="210">
        <v>1946</v>
      </c>
      <c r="C65" s="210"/>
      <c r="D65" s="202">
        <v>44958</v>
      </c>
      <c r="E65" s="219"/>
      <c r="I65" s="199"/>
      <c r="J65" s="206"/>
    </row>
    <row r="66" spans="1:10" x14ac:dyDescent="0.2">
      <c r="A66" s="56" t="s">
        <v>95</v>
      </c>
      <c r="B66" s="210">
        <v>4900</v>
      </c>
      <c r="C66" s="210"/>
      <c r="D66" s="202">
        <v>44986</v>
      </c>
      <c r="E66" s="219"/>
      <c r="H66" s="47"/>
    </row>
    <row r="67" spans="1:10" x14ac:dyDescent="0.2">
      <c r="A67" s="56" t="s">
        <v>96</v>
      </c>
      <c r="B67" s="210">
        <v>248</v>
      </c>
      <c r="C67" s="210"/>
      <c r="D67" s="202">
        <v>44986</v>
      </c>
      <c r="E67" s="219"/>
    </row>
    <row r="68" spans="1:10" x14ac:dyDescent="0.2">
      <c r="A68" s="58" t="s">
        <v>74</v>
      </c>
      <c r="B68" s="210"/>
      <c r="C68" s="210"/>
      <c r="D68" s="202"/>
      <c r="E68" s="220"/>
      <c r="F68" s="221">
        <f>SUM(B62:B68)</f>
        <v>9500</v>
      </c>
      <c r="G68" s="204"/>
    </row>
    <row r="69" spans="1:10" x14ac:dyDescent="0.2">
      <c r="A69" s="58" t="s">
        <v>82</v>
      </c>
      <c r="B69" s="210">
        <v>0</v>
      </c>
      <c r="C69" s="210"/>
      <c r="D69" s="202"/>
      <c r="E69" s="196"/>
      <c r="F69" s="203">
        <f>B69</f>
        <v>0</v>
      </c>
      <c r="G69" s="204"/>
    </row>
    <row r="70" spans="1:10" x14ac:dyDescent="0.2">
      <c r="A70" s="56" t="s">
        <v>97</v>
      </c>
      <c r="B70" s="210">
        <v>49339</v>
      </c>
      <c r="C70" s="210"/>
      <c r="D70" s="202"/>
      <c r="E70" s="220"/>
    </row>
    <row r="71" spans="1:10" x14ac:dyDescent="0.2">
      <c r="A71" s="58" t="s">
        <v>126</v>
      </c>
      <c r="B71" s="210"/>
      <c r="C71" s="210"/>
      <c r="D71" s="202"/>
      <c r="E71" s="220"/>
      <c r="F71" s="201">
        <v>49339</v>
      </c>
      <c r="G71" s="199"/>
    </row>
    <row r="72" spans="1:10" x14ac:dyDescent="0.2">
      <c r="A72" s="56"/>
      <c r="B72" s="210"/>
      <c r="C72" s="210"/>
      <c r="D72" s="173"/>
      <c r="E72" s="219"/>
    </row>
    <row r="73" spans="1:10" x14ac:dyDescent="0.2">
      <c r="A73" s="56"/>
      <c r="B73" s="210"/>
      <c r="C73" s="210"/>
      <c r="D73" s="173"/>
      <c r="E73" s="219"/>
      <c r="I73" s="199"/>
      <c r="J73" s="206"/>
    </row>
    <row r="74" spans="1:10" x14ac:dyDescent="0.2">
      <c r="A74" s="56"/>
      <c r="B74" s="210"/>
      <c r="C74" s="210"/>
      <c r="D74" s="173"/>
      <c r="E74" s="219"/>
      <c r="H74" s="47"/>
    </row>
    <row r="75" spans="1:10" ht="17" thickBot="1" x14ac:dyDescent="0.25">
      <c r="A75" s="56"/>
      <c r="B75" s="205"/>
      <c r="C75" s="205"/>
      <c r="D75" s="141"/>
      <c r="E75" s="215"/>
    </row>
    <row r="76" spans="1:10" x14ac:dyDescent="0.2">
      <c r="A76" s="57" t="s">
        <v>84</v>
      </c>
      <c r="B76" s="213">
        <f>SUM(B55:C75)</f>
        <v>63409.95</v>
      </c>
      <c r="C76" s="214"/>
      <c r="D76" s="141"/>
      <c r="E76" s="215"/>
    </row>
    <row r="77" spans="1:10" ht="17" thickBot="1" x14ac:dyDescent="0.25">
      <c r="A77" s="62" t="s">
        <v>85</v>
      </c>
      <c r="B77" s="216">
        <f>SUM(B54-B76)</f>
        <v>36590.050000000003</v>
      </c>
      <c r="C77" s="217"/>
      <c r="D77" s="53"/>
      <c r="E77" s="54"/>
    </row>
    <row r="83" spans="1:5" ht="17" thickBot="1" x14ac:dyDescent="0.25"/>
    <row r="84" spans="1:5" x14ac:dyDescent="0.2">
      <c r="A84" s="48" t="s">
        <v>98</v>
      </c>
      <c r="B84" s="49"/>
      <c r="C84" s="49"/>
      <c r="D84" s="49"/>
      <c r="E84" s="50"/>
    </row>
    <row r="85" spans="1:5" x14ac:dyDescent="0.2">
      <c r="A85" s="3" t="s">
        <v>99</v>
      </c>
      <c r="B85" s="210">
        <v>2300</v>
      </c>
      <c r="C85" s="210"/>
      <c r="D85" s="202">
        <v>45200</v>
      </c>
      <c r="E85" s="173"/>
    </row>
    <row r="86" spans="1:5" x14ac:dyDescent="0.2">
      <c r="A86" s="3" t="s">
        <v>100</v>
      </c>
      <c r="B86" s="210">
        <v>45.81</v>
      </c>
      <c r="C86" s="210"/>
      <c r="D86" s="202">
        <v>45231</v>
      </c>
      <c r="E86" s="173"/>
    </row>
    <row r="87" spans="1:5" x14ac:dyDescent="0.2">
      <c r="A87" s="3" t="s">
        <v>101</v>
      </c>
      <c r="B87" s="210">
        <v>394.95</v>
      </c>
      <c r="C87" s="210"/>
      <c r="D87" s="202">
        <v>45231</v>
      </c>
      <c r="E87" s="173"/>
    </row>
    <row r="88" spans="1:5" x14ac:dyDescent="0.2">
      <c r="A88" s="3" t="s">
        <v>102</v>
      </c>
      <c r="B88" s="210">
        <v>695</v>
      </c>
      <c r="C88" s="210"/>
      <c r="D88" s="202">
        <v>45231</v>
      </c>
      <c r="E88" s="173"/>
    </row>
    <row r="89" spans="1:5" x14ac:dyDescent="0.2">
      <c r="A89" s="3" t="s">
        <v>103</v>
      </c>
      <c r="B89" s="210">
        <v>525</v>
      </c>
      <c r="C89" s="210"/>
      <c r="D89" s="202">
        <v>45231</v>
      </c>
      <c r="E89" s="173"/>
    </row>
    <row r="90" spans="1:5" x14ac:dyDescent="0.2">
      <c r="A90" s="3" t="s">
        <v>104</v>
      </c>
      <c r="B90" s="210">
        <v>375</v>
      </c>
      <c r="C90" s="210"/>
      <c r="D90" s="202">
        <v>45231</v>
      </c>
      <c r="E90" s="173"/>
    </row>
    <row r="91" spans="1:5" x14ac:dyDescent="0.2">
      <c r="A91" s="3" t="s">
        <v>105</v>
      </c>
      <c r="B91" s="210">
        <v>268.49</v>
      </c>
      <c r="C91" s="210"/>
      <c r="D91" s="202">
        <v>45231</v>
      </c>
      <c r="E91" s="173"/>
    </row>
    <row r="92" spans="1:5" x14ac:dyDescent="0.2">
      <c r="A92" s="3" t="s">
        <v>103</v>
      </c>
      <c r="B92" s="210">
        <v>175</v>
      </c>
      <c r="C92" s="210"/>
      <c r="D92" s="202">
        <v>45231</v>
      </c>
      <c r="E92" s="173"/>
    </row>
    <row r="93" spans="1:5" x14ac:dyDescent="0.2">
      <c r="A93" s="3" t="s">
        <v>106</v>
      </c>
      <c r="B93" s="210">
        <v>1109.06</v>
      </c>
      <c r="C93" s="210"/>
      <c r="D93" s="202">
        <v>45231</v>
      </c>
      <c r="E93" s="202"/>
    </row>
    <row r="94" spans="1:5" x14ac:dyDescent="0.2">
      <c r="A94" s="3" t="s">
        <v>107</v>
      </c>
      <c r="B94" s="210">
        <v>10.57</v>
      </c>
      <c r="C94" s="210"/>
      <c r="D94" s="202">
        <v>45231</v>
      </c>
      <c r="E94" s="202"/>
    </row>
    <row r="95" spans="1:5" x14ac:dyDescent="0.2">
      <c r="A95" s="3" t="s">
        <v>108</v>
      </c>
      <c r="B95" s="210">
        <v>612</v>
      </c>
      <c r="C95" s="210"/>
      <c r="D95" s="202">
        <v>45231</v>
      </c>
      <c r="E95" s="202"/>
    </row>
    <row r="96" spans="1:5" x14ac:dyDescent="0.2">
      <c r="A96" s="3" t="s">
        <v>109</v>
      </c>
      <c r="B96" s="210">
        <v>1525</v>
      </c>
      <c r="C96" s="210"/>
      <c r="D96" s="202">
        <v>45231</v>
      </c>
      <c r="E96" s="202"/>
    </row>
    <row r="97" spans="1:7" x14ac:dyDescent="0.2">
      <c r="A97" s="3" t="s">
        <v>110</v>
      </c>
      <c r="B97" s="210">
        <v>90</v>
      </c>
      <c r="C97" s="210"/>
      <c r="D97" s="202">
        <v>45292</v>
      </c>
      <c r="E97" s="202"/>
    </row>
    <row r="98" spans="1:7" x14ac:dyDescent="0.2">
      <c r="A98" s="3" t="s">
        <v>111</v>
      </c>
      <c r="B98" s="210">
        <v>180</v>
      </c>
      <c r="C98" s="210"/>
      <c r="D98" s="202">
        <v>45292</v>
      </c>
      <c r="E98" s="202"/>
    </row>
    <row r="99" spans="1:7" x14ac:dyDescent="0.2">
      <c r="A99" s="3" t="s">
        <v>112</v>
      </c>
      <c r="B99" s="194">
        <v>13.76</v>
      </c>
      <c r="C99" s="195"/>
      <c r="D99" s="196">
        <v>45323</v>
      </c>
      <c r="E99" s="197"/>
    </row>
    <row r="100" spans="1:7" x14ac:dyDescent="0.2">
      <c r="A100" s="3" t="s">
        <v>113</v>
      </c>
      <c r="B100" s="210">
        <v>3250</v>
      </c>
      <c r="C100" s="210"/>
      <c r="D100" s="202">
        <v>45352</v>
      </c>
      <c r="E100" s="202"/>
    </row>
    <row r="101" spans="1:7" x14ac:dyDescent="0.2">
      <c r="A101" s="3" t="s">
        <v>114</v>
      </c>
      <c r="B101" s="210">
        <v>9</v>
      </c>
      <c r="C101" s="210"/>
      <c r="D101" s="202">
        <v>45352</v>
      </c>
      <c r="E101" s="202"/>
    </row>
    <row r="102" spans="1:7" x14ac:dyDescent="0.2">
      <c r="A102" s="3" t="s">
        <v>115</v>
      </c>
      <c r="B102" s="210">
        <v>235</v>
      </c>
      <c r="C102" s="210"/>
      <c r="D102" s="202">
        <v>45352</v>
      </c>
      <c r="E102" s="173"/>
    </row>
    <row r="103" spans="1:7" x14ac:dyDescent="0.2">
      <c r="A103" s="3" t="s">
        <v>116</v>
      </c>
      <c r="B103" s="210">
        <v>2300</v>
      </c>
      <c r="C103" s="210"/>
      <c r="D103" s="202">
        <v>45231</v>
      </c>
      <c r="E103" s="202"/>
    </row>
    <row r="104" spans="1:7" x14ac:dyDescent="0.2">
      <c r="A104" s="3" t="s">
        <v>117</v>
      </c>
      <c r="B104" s="194">
        <v>2358.2800000000002</v>
      </c>
      <c r="C104" s="195"/>
      <c r="D104" s="196">
        <v>44986</v>
      </c>
      <c r="E104" s="197"/>
    </row>
    <row r="105" spans="1:7" x14ac:dyDescent="0.2">
      <c r="A105" s="63" t="s">
        <v>82</v>
      </c>
      <c r="B105" s="210"/>
      <c r="C105" s="210"/>
      <c r="D105" s="202"/>
      <c r="E105" s="202"/>
      <c r="F105" s="211">
        <f>SUM(B85:C104)</f>
        <v>16471.919999999998</v>
      </c>
      <c r="G105" s="212"/>
    </row>
    <row r="106" spans="1:7" x14ac:dyDescent="0.2">
      <c r="A106" s="65" t="s">
        <v>118</v>
      </c>
      <c r="B106" s="194">
        <v>533.70000000000005</v>
      </c>
      <c r="C106" s="195"/>
      <c r="D106" s="196">
        <v>45413</v>
      </c>
      <c r="E106" s="197"/>
      <c r="F106" s="69"/>
      <c r="G106" s="70"/>
    </row>
    <row r="107" spans="1:7" x14ac:dyDescent="0.2">
      <c r="A107" s="3" t="s">
        <v>119</v>
      </c>
      <c r="B107" s="194">
        <v>900</v>
      </c>
      <c r="C107" s="195"/>
      <c r="D107" s="196">
        <v>45444</v>
      </c>
      <c r="E107" s="197"/>
      <c r="F107" s="69"/>
      <c r="G107" s="70"/>
    </row>
    <row r="108" spans="1:7" x14ac:dyDescent="0.2">
      <c r="A108" s="3" t="s">
        <v>120</v>
      </c>
      <c r="B108" s="194">
        <v>13500</v>
      </c>
      <c r="C108" s="195"/>
      <c r="D108" s="196">
        <v>45474</v>
      </c>
      <c r="E108" s="197"/>
      <c r="F108" s="69"/>
      <c r="G108" s="70"/>
    </row>
    <row r="109" spans="1:7" x14ac:dyDescent="0.2">
      <c r="A109" s="3" t="s">
        <v>120</v>
      </c>
      <c r="B109" s="194">
        <v>5000</v>
      </c>
      <c r="C109" s="195"/>
      <c r="D109" s="196">
        <v>45474</v>
      </c>
      <c r="E109" s="197"/>
      <c r="F109" s="69"/>
      <c r="G109" s="70"/>
    </row>
    <row r="110" spans="1:7" x14ac:dyDescent="0.2">
      <c r="A110" s="3" t="s">
        <v>121</v>
      </c>
      <c r="B110" s="194">
        <v>260</v>
      </c>
      <c r="C110" s="195"/>
      <c r="D110" s="196">
        <v>45474</v>
      </c>
      <c r="E110" s="197"/>
      <c r="F110" s="69"/>
      <c r="G110" s="70"/>
    </row>
    <row r="111" spans="1:7" x14ac:dyDescent="0.2">
      <c r="A111" s="3" t="s">
        <v>122</v>
      </c>
      <c r="B111" s="194">
        <v>4000</v>
      </c>
      <c r="C111" s="195"/>
      <c r="D111" s="196">
        <v>45505</v>
      </c>
      <c r="E111" s="197"/>
      <c r="F111" s="69"/>
      <c r="G111" s="70"/>
    </row>
    <row r="112" spans="1:7" x14ac:dyDescent="0.2">
      <c r="A112" s="3" t="s">
        <v>123</v>
      </c>
      <c r="B112" s="194">
        <v>60</v>
      </c>
      <c r="C112" s="195"/>
      <c r="D112" s="196">
        <v>45505</v>
      </c>
      <c r="E112" s="197"/>
      <c r="F112" s="69"/>
      <c r="G112" s="70"/>
    </row>
    <row r="113" spans="1:7" x14ac:dyDescent="0.2">
      <c r="A113" s="3" t="s">
        <v>124</v>
      </c>
      <c r="B113" s="194">
        <v>590</v>
      </c>
      <c r="C113" s="195"/>
      <c r="D113" s="196">
        <v>45505</v>
      </c>
      <c r="E113" s="197"/>
      <c r="F113" s="69"/>
      <c r="G113" s="70"/>
    </row>
    <row r="114" spans="1:7" x14ac:dyDescent="0.2">
      <c r="A114" s="3" t="s">
        <v>125</v>
      </c>
      <c r="B114" s="194">
        <v>6681</v>
      </c>
      <c r="C114" s="195"/>
      <c r="D114" s="196">
        <v>45566</v>
      </c>
      <c r="E114" s="197"/>
      <c r="F114" s="69"/>
      <c r="G114" s="70"/>
    </row>
    <row r="115" spans="1:7" x14ac:dyDescent="0.2">
      <c r="A115" s="3" t="s">
        <v>131</v>
      </c>
      <c r="B115" s="194">
        <v>1316.81</v>
      </c>
      <c r="C115" s="195"/>
      <c r="D115" s="196">
        <v>45597</v>
      </c>
      <c r="E115" s="197"/>
      <c r="F115" s="69"/>
      <c r="G115" s="70"/>
    </row>
    <row r="116" spans="1:7" x14ac:dyDescent="0.2">
      <c r="A116" s="3" t="s">
        <v>134</v>
      </c>
      <c r="B116" s="194">
        <v>650</v>
      </c>
      <c r="C116" s="195"/>
      <c r="D116" s="196">
        <v>45597</v>
      </c>
      <c r="E116" s="197"/>
      <c r="F116" s="69"/>
      <c r="G116" s="70"/>
    </row>
    <row r="117" spans="1:7" x14ac:dyDescent="0.2">
      <c r="A117" s="3" t="s">
        <v>136</v>
      </c>
      <c r="B117" s="194">
        <v>6000</v>
      </c>
      <c r="C117" s="195"/>
      <c r="D117" s="196">
        <v>45566</v>
      </c>
      <c r="E117" s="197"/>
      <c r="F117" s="69"/>
      <c r="G117" s="70"/>
    </row>
    <row r="118" spans="1:7" x14ac:dyDescent="0.2">
      <c r="A118" s="3" t="s">
        <v>137</v>
      </c>
      <c r="B118" s="194">
        <v>500</v>
      </c>
      <c r="C118" s="195"/>
      <c r="D118" s="196">
        <v>45627</v>
      </c>
      <c r="E118" s="197"/>
      <c r="F118" s="69"/>
      <c r="G118" s="70"/>
    </row>
    <row r="119" spans="1:7" x14ac:dyDescent="0.2">
      <c r="A119" s="3" t="s">
        <v>138</v>
      </c>
      <c r="B119" s="194">
        <v>1676.12</v>
      </c>
      <c r="C119" s="195"/>
      <c r="D119" s="196">
        <v>45658</v>
      </c>
      <c r="E119" s="197"/>
      <c r="F119" s="69"/>
      <c r="G119" s="70"/>
    </row>
    <row r="120" spans="1:7" x14ac:dyDescent="0.2">
      <c r="A120" s="3" t="s">
        <v>139</v>
      </c>
      <c r="B120" s="194">
        <v>320</v>
      </c>
      <c r="C120" s="195"/>
      <c r="D120" s="196">
        <v>45658</v>
      </c>
      <c r="E120" s="197"/>
      <c r="F120" s="69"/>
      <c r="G120" s="70"/>
    </row>
    <row r="121" spans="1:7" x14ac:dyDescent="0.2">
      <c r="A121" s="3" t="s">
        <v>140</v>
      </c>
      <c r="B121" s="210">
        <v>155</v>
      </c>
      <c r="C121" s="210"/>
      <c r="D121" s="202">
        <v>45658</v>
      </c>
      <c r="E121" s="202"/>
    </row>
    <row r="122" spans="1:7" x14ac:dyDescent="0.2">
      <c r="A122" s="3" t="s">
        <v>141</v>
      </c>
      <c r="B122" s="210">
        <v>400</v>
      </c>
      <c r="C122" s="210"/>
      <c r="D122" s="202">
        <v>45658</v>
      </c>
      <c r="E122" s="202"/>
    </row>
    <row r="123" spans="1:7" x14ac:dyDescent="0.2">
      <c r="A123" s="3" t="s">
        <v>142</v>
      </c>
      <c r="B123" s="210">
        <v>3809.37</v>
      </c>
      <c r="C123" s="210"/>
      <c r="D123" s="202">
        <v>45658</v>
      </c>
      <c r="E123" s="202"/>
    </row>
    <row r="124" spans="1:7" x14ac:dyDescent="0.2">
      <c r="A124" s="3" t="s">
        <v>143</v>
      </c>
      <c r="B124" s="194">
        <v>1525</v>
      </c>
      <c r="C124" s="195"/>
      <c r="D124" s="196">
        <v>45689</v>
      </c>
      <c r="E124" s="197"/>
    </row>
    <row r="125" spans="1:7" x14ac:dyDescent="0.2">
      <c r="A125" s="3" t="s">
        <v>144</v>
      </c>
      <c r="B125" s="194">
        <v>1687.5</v>
      </c>
      <c r="C125" s="195"/>
      <c r="D125" s="196">
        <v>45689</v>
      </c>
      <c r="E125" s="197"/>
    </row>
    <row r="126" spans="1:7" x14ac:dyDescent="0.2">
      <c r="A126" s="3" t="s">
        <v>145</v>
      </c>
      <c r="B126" s="194">
        <v>104</v>
      </c>
      <c r="C126" s="195"/>
      <c r="D126" s="196">
        <v>45689</v>
      </c>
      <c r="E126" s="197"/>
    </row>
    <row r="127" spans="1:7" x14ac:dyDescent="0.2">
      <c r="A127" s="3" t="s">
        <v>146</v>
      </c>
      <c r="B127" s="194">
        <v>285</v>
      </c>
      <c r="C127" s="195"/>
      <c r="D127" s="196">
        <v>45658</v>
      </c>
      <c r="E127" s="197"/>
    </row>
    <row r="128" spans="1:7" x14ac:dyDescent="0.2">
      <c r="A128" s="3" t="s">
        <v>147</v>
      </c>
      <c r="B128" s="194">
        <v>21156.66</v>
      </c>
      <c r="C128" s="195"/>
      <c r="D128" s="196">
        <v>45717</v>
      </c>
      <c r="E128" s="197"/>
    </row>
    <row r="129" spans="1:7" x14ac:dyDescent="0.2">
      <c r="A129" s="3" t="s">
        <v>148</v>
      </c>
      <c r="B129" s="194">
        <v>578.95000000000005</v>
      </c>
      <c r="C129" s="195"/>
      <c r="D129" s="196">
        <v>45717</v>
      </c>
      <c r="E129" s="197"/>
    </row>
    <row r="130" spans="1:7" x14ac:dyDescent="0.2">
      <c r="A130" s="63" t="s">
        <v>126</v>
      </c>
      <c r="B130" s="194"/>
      <c r="C130" s="195"/>
      <c r="D130" s="202"/>
      <c r="E130" s="202"/>
      <c r="F130" s="203">
        <f>SUM(B106:C129)</f>
        <v>71689.11</v>
      </c>
      <c r="G130" s="204"/>
    </row>
    <row r="131" spans="1:7" x14ac:dyDescent="0.2">
      <c r="A131" s="3" t="s">
        <v>107</v>
      </c>
      <c r="B131" s="146">
        <v>13.12</v>
      </c>
      <c r="C131" s="147"/>
      <c r="D131" s="196">
        <v>45748</v>
      </c>
      <c r="E131" s="197"/>
      <c r="F131" s="69"/>
      <c r="G131" s="70"/>
    </row>
    <row r="132" spans="1:7" x14ac:dyDescent="0.2">
      <c r="A132" s="3" t="s">
        <v>163</v>
      </c>
      <c r="B132" s="194">
        <v>3295</v>
      </c>
      <c r="C132" s="195"/>
      <c r="D132" s="196">
        <v>45748</v>
      </c>
      <c r="E132" s="197"/>
      <c r="F132" s="69"/>
      <c r="G132" s="70"/>
    </row>
    <row r="133" spans="1:7" x14ac:dyDescent="0.2">
      <c r="A133" s="3" t="s">
        <v>164</v>
      </c>
      <c r="B133" s="194">
        <v>330</v>
      </c>
      <c r="C133" s="195"/>
      <c r="D133" s="196">
        <v>45748</v>
      </c>
      <c r="E133" s="197"/>
      <c r="F133" s="69"/>
      <c r="G133" s="70"/>
    </row>
    <row r="134" spans="1:7" x14ac:dyDescent="0.2">
      <c r="A134" s="3" t="s">
        <v>165</v>
      </c>
      <c r="B134" s="194">
        <v>1975</v>
      </c>
      <c r="C134" s="195"/>
      <c r="D134" s="196">
        <v>45778</v>
      </c>
      <c r="E134" s="197"/>
      <c r="F134" s="69"/>
      <c r="G134" s="70"/>
    </row>
    <row r="135" spans="1:7" x14ac:dyDescent="0.2">
      <c r="A135" s="3" t="s">
        <v>124</v>
      </c>
      <c r="B135" s="194">
        <v>731</v>
      </c>
      <c r="C135" s="195"/>
      <c r="D135" s="196">
        <v>45778</v>
      </c>
      <c r="E135" s="197"/>
      <c r="F135" s="69"/>
      <c r="G135" s="70"/>
    </row>
    <row r="136" spans="1:7" x14ac:dyDescent="0.2">
      <c r="A136" s="3" t="s">
        <v>166</v>
      </c>
      <c r="B136" s="194">
        <v>2750</v>
      </c>
      <c r="C136" s="195"/>
      <c r="D136" s="196">
        <v>45809</v>
      </c>
      <c r="E136" s="197"/>
      <c r="F136" s="69"/>
      <c r="G136" s="70"/>
    </row>
    <row r="137" spans="1:7" x14ac:dyDescent="0.2">
      <c r="A137" s="3" t="s">
        <v>172</v>
      </c>
      <c r="B137" s="194">
        <v>650</v>
      </c>
      <c r="C137" s="195"/>
      <c r="D137" s="196">
        <v>45839</v>
      </c>
      <c r="E137" s="197"/>
      <c r="F137" s="69"/>
      <c r="G137" s="70"/>
    </row>
    <row r="138" spans="1:7" x14ac:dyDescent="0.2">
      <c r="A138" s="3" t="s">
        <v>173</v>
      </c>
      <c r="B138" s="194">
        <v>720</v>
      </c>
      <c r="C138" s="195"/>
      <c r="D138" s="196">
        <v>45839</v>
      </c>
      <c r="E138" s="197"/>
      <c r="F138" s="69"/>
      <c r="G138" s="70"/>
    </row>
    <row r="139" spans="1:7" x14ac:dyDescent="0.2">
      <c r="A139" s="3" t="s">
        <v>174</v>
      </c>
      <c r="B139" s="194">
        <v>203.75</v>
      </c>
      <c r="C139" s="195"/>
      <c r="D139" s="196">
        <v>45901</v>
      </c>
      <c r="E139" s="197"/>
      <c r="F139" s="69"/>
      <c r="G139" s="70"/>
    </row>
    <row r="140" spans="1:7" x14ac:dyDescent="0.2">
      <c r="A140" s="3" t="s">
        <v>175</v>
      </c>
      <c r="B140" s="194">
        <v>93</v>
      </c>
      <c r="C140" s="195"/>
      <c r="D140" s="196">
        <v>45901</v>
      </c>
      <c r="E140" s="197"/>
      <c r="F140" s="69"/>
      <c r="G140" s="70"/>
    </row>
    <row r="141" spans="1:7" x14ac:dyDescent="0.2">
      <c r="A141" s="3" t="s">
        <v>176</v>
      </c>
      <c r="B141" s="194">
        <v>350</v>
      </c>
      <c r="C141" s="195"/>
      <c r="D141" s="196">
        <v>45901</v>
      </c>
      <c r="E141" s="197"/>
      <c r="F141" s="69"/>
      <c r="G141" s="70"/>
    </row>
    <row r="142" spans="1:7" x14ac:dyDescent="0.2">
      <c r="A142" s="3" t="s">
        <v>177</v>
      </c>
      <c r="B142" s="194">
        <v>2750</v>
      </c>
      <c r="C142" s="195"/>
      <c r="D142" s="196">
        <v>45931</v>
      </c>
      <c r="E142" s="197"/>
      <c r="F142" s="69"/>
      <c r="G142" s="70"/>
    </row>
    <row r="143" spans="1:7" x14ac:dyDescent="0.2">
      <c r="A143" s="3" t="s">
        <v>178</v>
      </c>
      <c r="B143" s="194">
        <v>510</v>
      </c>
      <c r="C143" s="195"/>
      <c r="D143" s="196">
        <v>45931</v>
      </c>
      <c r="E143" s="197"/>
      <c r="F143" s="69"/>
      <c r="G143" s="70"/>
    </row>
    <row r="144" spans="1:7" x14ac:dyDescent="0.2">
      <c r="A144" s="3" t="s">
        <v>179</v>
      </c>
      <c r="B144" s="194">
        <v>36</v>
      </c>
      <c r="C144" s="195"/>
      <c r="D144" s="196">
        <v>45931</v>
      </c>
      <c r="E144" s="197"/>
      <c r="F144" s="69"/>
      <c r="G144" s="70"/>
    </row>
    <row r="145" spans="1:7" x14ac:dyDescent="0.2">
      <c r="A145" s="3" t="s">
        <v>180</v>
      </c>
      <c r="B145" s="194">
        <v>115.84</v>
      </c>
      <c r="C145" s="195"/>
      <c r="D145" s="196">
        <v>45931</v>
      </c>
      <c r="E145" s="197"/>
      <c r="F145" s="69"/>
      <c r="G145" s="70"/>
    </row>
    <row r="146" spans="1:7" x14ac:dyDescent="0.2">
      <c r="A146" s="3" t="s">
        <v>181</v>
      </c>
      <c r="B146" s="194">
        <v>132.5</v>
      </c>
      <c r="C146" s="195"/>
      <c r="D146" s="196">
        <v>45931</v>
      </c>
      <c r="E146" s="197"/>
      <c r="F146" s="69"/>
      <c r="G146" s="70"/>
    </row>
    <row r="147" spans="1:7" x14ac:dyDescent="0.2">
      <c r="A147" s="3" t="s">
        <v>35</v>
      </c>
      <c r="B147" s="194">
        <v>6.66</v>
      </c>
      <c r="C147" s="195"/>
      <c r="D147" s="196">
        <v>45931</v>
      </c>
      <c r="E147" s="197"/>
      <c r="F147" s="69"/>
      <c r="G147" s="70"/>
    </row>
    <row r="148" spans="1:7" x14ac:dyDescent="0.2">
      <c r="A148" s="3" t="s">
        <v>182</v>
      </c>
      <c r="B148" s="194">
        <v>46.63</v>
      </c>
      <c r="C148" s="195"/>
      <c r="D148" s="196">
        <v>45931</v>
      </c>
      <c r="E148" s="197"/>
      <c r="F148" s="69"/>
      <c r="G148" s="70"/>
    </row>
    <row r="149" spans="1:7" x14ac:dyDescent="0.2">
      <c r="A149" s="3" t="s">
        <v>186</v>
      </c>
      <c r="B149" s="194">
        <v>660</v>
      </c>
      <c r="C149" s="195"/>
      <c r="D149" s="196">
        <v>45962</v>
      </c>
      <c r="E149" s="197"/>
      <c r="F149" s="69"/>
      <c r="G149" s="70"/>
    </row>
    <row r="150" spans="1:7" x14ac:dyDescent="0.2">
      <c r="A150" s="3" t="s">
        <v>187</v>
      </c>
      <c r="B150" s="194">
        <v>9379.91</v>
      </c>
      <c r="C150" s="195"/>
      <c r="D150" s="196">
        <v>45962</v>
      </c>
      <c r="E150" s="197"/>
      <c r="F150" s="69"/>
      <c r="G150" s="70"/>
    </row>
    <row r="151" spans="1:7" x14ac:dyDescent="0.2">
      <c r="A151" s="3" t="s">
        <v>188</v>
      </c>
      <c r="B151" s="194">
        <v>34.46</v>
      </c>
      <c r="C151" s="195"/>
      <c r="D151" s="196">
        <v>45962</v>
      </c>
      <c r="E151" s="197"/>
      <c r="F151" s="69"/>
      <c r="G151" s="70"/>
    </row>
    <row r="152" spans="1:7" x14ac:dyDescent="0.2">
      <c r="A152" s="3" t="s">
        <v>189</v>
      </c>
      <c r="B152" s="194">
        <v>49.98</v>
      </c>
      <c r="C152" s="195"/>
      <c r="D152" s="196">
        <v>45962</v>
      </c>
      <c r="E152" s="197"/>
      <c r="F152" s="69"/>
      <c r="G152" s="70"/>
    </row>
    <row r="153" spans="1:7" x14ac:dyDescent="0.2">
      <c r="A153" s="3" t="s">
        <v>190</v>
      </c>
      <c r="B153" s="194">
        <v>1304</v>
      </c>
      <c r="C153" s="195"/>
      <c r="D153" s="196">
        <v>45962</v>
      </c>
      <c r="E153" s="197"/>
      <c r="F153" s="69"/>
      <c r="G153" s="70"/>
    </row>
    <row r="154" spans="1:7" x14ac:dyDescent="0.2">
      <c r="A154" s="3" t="s">
        <v>191</v>
      </c>
      <c r="B154" s="194">
        <v>265</v>
      </c>
      <c r="C154" s="195"/>
      <c r="D154" s="196">
        <v>45962</v>
      </c>
      <c r="E154" s="197"/>
      <c r="F154" s="69"/>
      <c r="G154" s="70"/>
    </row>
    <row r="155" spans="1:7" x14ac:dyDescent="0.2">
      <c r="A155" s="3" t="s">
        <v>185</v>
      </c>
      <c r="B155" s="194">
        <v>245</v>
      </c>
      <c r="C155" s="195"/>
      <c r="D155" s="196">
        <v>45992</v>
      </c>
      <c r="E155" s="197"/>
      <c r="F155" s="69"/>
      <c r="G155" s="70"/>
    </row>
    <row r="156" spans="1:7" x14ac:dyDescent="0.2">
      <c r="A156" s="3" t="s">
        <v>196</v>
      </c>
      <c r="B156" s="194">
        <v>505</v>
      </c>
      <c r="C156" s="195"/>
      <c r="D156" s="196">
        <v>45992</v>
      </c>
      <c r="E156" s="197"/>
      <c r="F156" s="69"/>
      <c r="G156" s="70"/>
    </row>
    <row r="157" spans="1:7" x14ac:dyDescent="0.2">
      <c r="A157" s="3" t="s">
        <v>197</v>
      </c>
      <c r="B157" s="194">
        <v>12000</v>
      </c>
      <c r="C157" s="195"/>
      <c r="D157" s="196">
        <v>45992</v>
      </c>
      <c r="E157" s="197"/>
      <c r="F157" s="69"/>
      <c r="G157" s="70"/>
    </row>
    <row r="158" spans="1:7" x14ac:dyDescent="0.2">
      <c r="A158" s="3" t="s">
        <v>198</v>
      </c>
      <c r="B158" s="194">
        <v>85</v>
      </c>
      <c r="C158" s="195"/>
      <c r="D158" s="196">
        <v>46023</v>
      </c>
      <c r="E158" s="197"/>
      <c r="F158" s="69"/>
      <c r="G158" s="70"/>
    </row>
    <row r="159" spans="1:7" x14ac:dyDescent="0.2">
      <c r="A159" s="3" t="s">
        <v>199</v>
      </c>
      <c r="B159" s="194">
        <v>504</v>
      </c>
      <c r="C159" s="195"/>
      <c r="D159" s="196">
        <v>46054</v>
      </c>
      <c r="E159" s="197"/>
      <c r="F159" s="69"/>
      <c r="G159" s="70"/>
    </row>
    <row r="160" spans="1:7" x14ac:dyDescent="0.2">
      <c r="A160" s="3" t="s">
        <v>200</v>
      </c>
      <c r="B160" s="194">
        <v>133.32</v>
      </c>
      <c r="C160" s="195"/>
      <c r="D160" s="196">
        <v>46054</v>
      </c>
      <c r="E160" s="197"/>
      <c r="F160" s="69"/>
      <c r="G160" s="70"/>
    </row>
    <row r="161" spans="1:7" x14ac:dyDescent="0.2">
      <c r="A161" s="3" t="s">
        <v>201</v>
      </c>
      <c r="B161" s="194">
        <v>13776.93</v>
      </c>
      <c r="C161" s="195"/>
      <c r="D161" s="196">
        <v>46054</v>
      </c>
      <c r="E161" s="197"/>
      <c r="F161" s="69"/>
      <c r="G161" s="70"/>
    </row>
    <row r="162" spans="1:7" x14ac:dyDescent="0.2">
      <c r="A162" s="3" t="s">
        <v>202</v>
      </c>
      <c r="B162" s="194">
        <v>135.24</v>
      </c>
      <c r="C162" s="195"/>
      <c r="D162" s="196">
        <v>46082</v>
      </c>
      <c r="E162" s="197"/>
      <c r="F162" s="198">
        <f>SUM(B131:C162)</f>
        <v>53786.339999999989</v>
      </c>
      <c r="G162" s="199"/>
    </row>
    <row r="163" spans="1:7" x14ac:dyDescent="0.2">
      <c r="A163" s="63" t="s">
        <v>203</v>
      </c>
      <c r="B163" s="194"/>
      <c r="C163" s="195"/>
      <c r="D163" s="196"/>
      <c r="E163" s="197"/>
      <c r="F163" s="198"/>
      <c r="G163" s="199"/>
    </row>
    <row r="164" spans="1:7" x14ac:dyDescent="0.2">
      <c r="A164" s="3" t="s">
        <v>204</v>
      </c>
      <c r="B164" s="194">
        <v>5000</v>
      </c>
      <c r="C164" s="195"/>
      <c r="D164" s="196">
        <v>46113</v>
      </c>
      <c r="E164" s="197"/>
      <c r="F164" s="69"/>
      <c r="G164" s="70"/>
    </row>
    <row r="165" spans="1:7" x14ac:dyDescent="0.2">
      <c r="A165" s="3" t="s">
        <v>205</v>
      </c>
      <c r="B165" s="194">
        <v>340.2</v>
      </c>
      <c r="C165" s="195"/>
      <c r="D165" s="196">
        <v>46113</v>
      </c>
      <c r="E165" s="197"/>
      <c r="F165" s="69"/>
      <c r="G165" s="70"/>
    </row>
    <row r="166" spans="1:7" x14ac:dyDescent="0.2">
      <c r="A166" s="3" t="s">
        <v>206</v>
      </c>
      <c r="B166" s="194">
        <v>7446.24</v>
      </c>
      <c r="C166" s="195"/>
      <c r="D166" s="196">
        <v>46113</v>
      </c>
      <c r="E166" s="197"/>
      <c r="F166" s="69"/>
      <c r="G166" s="70"/>
    </row>
    <row r="167" spans="1:7" x14ac:dyDescent="0.2">
      <c r="A167" s="63" t="s">
        <v>207</v>
      </c>
      <c r="B167" s="194"/>
      <c r="C167" s="195"/>
      <c r="D167" s="196"/>
      <c r="E167" s="197"/>
      <c r="F167" s="69"/>
      <c r="G167" s="70"/>
    </row>
    <row r="168" spans="1:7" x14ac:dyDescent="0.2">
      <c r="A168" t="s">
        <v>210</v>
      </c>
      <c r="B168" s="247">
        <v>5905.4</v>
      </c>
      <c r="C168" s="247"/>
      <c r="D168" s="248">
        <v>46143</v>
      </c>
      <c r="E168" s="248"/>
      <c r="F168" s="69"/>
      <c r="G168" s="70"/>
    </row>
    <row r="169" spans="1:7" x14ac:dyDescent="0.2">
      <c r="B169" s="67"/>
      <c r="C169" s="67"/>
      <c r="D169" s="86"/>
      <c r="E169" s="86"/>
      <c r="F169" s="69"/>
      <c r="G169" s="70"/>
    </row>
    <row r="170" spans="1:7" x14ac:dyDescent="0.2">
      <c r="A170" s="80"/>
      <c r="B170" s="67"/>
      <c r="C170" s="67"/>
      <c r="D170" s="86"/>
      <c r="E170" s="86"/>
      <c r="F170" s="69"/>
      <c r="G170" s="70"/>
    </row>
    <row r="171" spans="1:7" x14ac:dyDescent="0.2">
      <c r="F171" s="198"/>
      <c r="G171" s="199"/>
    </row>
    <row r="172" spans="1:7" ht="17" thickBot="1" x14ac:dyDescent="0.25">
      <c r="A172" s="64" t="s">
        <v>84</v>
      </c>
      <c r="B172" s="207">
        <f>SUM(B85:C168)</f>
        <v>160639.21</v>
      </c>
      <c r="C172" s="207"/>
      <c r="D172" s="208"/>
      <c r="E172" s="209"/>
    </row>
    <row r="173" spans="1:7" x14ac:dyDescent="0.2">
      <c r="B173" s="205"/>
      <c r="C173" s="205"/>
      <c r="D173" s="141"/>
      <c r="E173" s="141"/>
    </row>
    <row r="174" spans="1:7" x14ac:dyDescent="0.2">
      <c r="B174" s="199"/>
      <c r="C174" s="206"/>
    </row>
    <row r="175" spans="1:7" x14ac:dyDescent="0.2">
      <c r="A175" s="47" t="s">
        <v>127</v>
      </c>
      <c r="B175" s="205">
        <f>B17-B46-B172-B76</f>
        <v>116565.73999999998</v>
      </c>
      <c r="C175" s="141"/>
    </row>
  </sheetData>
  <mergeCells count="339">
    <mergeCell ref="B168:C168"/>
    <mergeCell ref="D168:E168"/>
    <mergeCell ref="B3:C4"/>
    <mergeCell ref="B5:C6"/>
    <mergeCell ref="D3:E4"/>
    <mergeCell ref="D5:E6"/>
    <mergeCell ref="B7:C7"/>
    <mergeCell ref="D7:E7"/>
    <mergeCell ref="B11:C11"/>
    <mergeCell ref="B12:C12"/>
    <mergeCell ref="D11:E12"/>
    <mergeCell ref="B20:C20"/>
    <mergeCell ref="B21:C21"/>
    <mergeCell ref="B22:C22"/>
    <mergeCell ref="B24:C24"/>
    <mergeCell ref="B13:C13"/>
    <mergeCell ref="D13:E13"/>
    <mergeCell ref="B8:C8"/>
    <mergeCell ref="D8:E8"/>
    <mergeCell ref="B9:C9"/>
    <mergeCell ref="D9:E9"/>
    <mergeCell ref="B10:C10"/>
    <mergeCell ref="D10:E10"/>
    <mergeCell ref="B17:C17"/>
    <mergeCell ref="B14:C14"/>
    <mergeCell ref="D14:E14"/>
    <mergeCell ref="D34:E34"/>
    <mergeCell ref="B32:C32"/>
    <mergeCell ref="B33:C33"/>
    <mergeCell ref="B34:C34"/>
    <mergeCell ref="B35:C35"/>
    <mergeCell ref="D22:E22"/>
    <mergeCell ref="D24:E24"/>
    <mergeCell ref="D25:E25"/>
    <mergeCell ref="D27:E27"/>
    <mergeCell ref="D28:E28"/>
    <mergeCell ref="B25:C25"/>
    <mergeCell ref="B27:C27"/>
    <mergeCell ref="B28:C28"/>
    <mergeCell ref="B29:C29"/>
    <mergeCell ref="B30:C30"/>
    <mergeCell ref="D29:E29"/>
    <mergeCell ref="D30:E30"/>
    <mergeCell ref="D31:E31"/>
    <mergeCell ref="D32:E32"/>
    <mergeCell ref="D33:E33"/>
    <mergeCell ref="B31:C31"/>
    <mergeCell ref="D35:E35"/>
    <mergeCell ref="D36:E36"/>
    <mergeCell ref="I54:J54"/>
    <mergeCell ref="K54:L54"/>
    <mergeCell ref="K55:L55"/>
    <mergeCell ref="K56:L56"/>
    <mergeCell ref="B54:C54"/>
    <mergeCell ref="B55:C55"/>
    <mergeCell ref="B47:C47"/>
    <mergeCell ref="B48:C48"/>
    <mergeCell ref="B50:C50"/>
    <mergeCell ref="B51:C51"/>
    <mergeCell ref="B52:C52"/>
    <mergeCell ref="B49:C49"/>
    <mergeCell ref="D55:E55"/>
    <mergeCell ref="B56:C56"/>
    <mergeCell ref="D56:E56"/>
    <mergeCell ref="B37:C37"/>
    <mergeCell ref="B36:C36"/>
    <mergeCell ref="I73:J73"/>
    <mergeCell ref="K59:L59"/>
    <mergeCell ref="K60:L60"/>
    <mergeCell ref="K61:L61"/>
    <mergeCell ref="K63:L63"/>
    <mergeCell ref="I65:J65"/>
    <mergeCell ref="I59:J59"/>
    <mergeCell ref="I60:J60"/>
    <mergeCell ref="I61:J61"/>
    <mergeCell ref="I63:J63"/>
    <mergeCell ref="I58:J58"/>
    <mergeCell ref="K58:L58"/>
    <mergeCell ref="B23:C23"/>
    <mergeCell ref="D23:E23"/>
    <mergeCell ref="F23:G23"/>
    <mergeCell ref="B26:C26"/>
    <mergeCell ref="D26:E26"/>
    <mergeCell ref="F26:G26"/>
    <mergeCell ref="D37:E37"/>
    <mergeCell ref="F37:G37"/>
    <mergeCell ref="B45:C45"/>
    <mergeCell ref="D45:E45"/>
    <mergeCell ref="B46:C46"/>
    <mergeCell ref="D46:E46"/>
    <mergeCell ref="D47:E47"/>
    <mergeCell ref="D48:E48"/>
    <mergeCell ref="K57:L57"/>
    <mergeCell ref="I56:J56"/>
    <mergeCell ref="I57:J57"/>
    <mergeCell ref="I55:J55"/>
    <mergeCell ref="D49:E49"/>
    <mergeCell ref="D50:E50"/>
    <mergeCell ref="D51:E51"/>
    <mergeCell ref="D52:E52"/>
    <mergeCell ref="F57:G57"/>
    <mergeCell ref="B58:C58"/>
    <mergeCell ref="D58:E58"/>
    <mergeCell ref="B44:C44"/>
    <mergeCell ref="D44:E44"/>
    <mergeCell ref="B38:C38"/>
    <mergeCell ref="B39:C39"/>
    <mergeCell ref="B40:C40"/>
    <mergeCell ref="B41:C41"/>
    <mergeCell ref="B42:C42"/>
    <mergeCell ref="B43:C43"/>
    <mergeCell ref="D38:E38"/>
    <mergeCell ref="D39:E39"/>
    <mergeCell ref="D40:E40"/>
    <mergeCell ref="D41:E41"/>
    <mergeCell ref="D42:E42"/>
    <mergeCell ref="D43:E43"/>
    <mergeCell ref="D53:E53"/>
    <mergeCell ref="B53:C53"/>
    <mergeCell ref="F42:G42"/>
    <mergeCell ref="F61:G61"/>
    <mergeCell ref="B63:C63"/>
    <mergeCell ref="D63:E63"/>
    <mergeCell ref="B59:C59"/>
    <mergeCell ref="D59:E59"/>
    <mergeCell ref="B60:C60"/>
    <mergeCell ref="D60:E60"/>
    <mergeCell ref="B61:C61"/>
    <mergeCell ref="D61:E61"/>
    <mergeCell ref="B62:C62"/>
    <mergeCell ref="D62:E62"/>
    <mergeCell ref="F68:G68"/>
    <mergeCell ref="B69:C69"/>
    <mergeCell ref="D69:E69"/>
    <mergeCell ref="F69:G69"/>
    <mergeCell ref="B65:C65"/>
    <mergeCell ref="D65:E65"/>
    <mergeCell ref="B66:C66"/>
    <mergeCell ref="D66:E66"/>
    <mergeCell ref="B67:C67"/>
    <mergeCell ref="D67:E67"/>
    <mergeCell ref="B64:C64"/>
    <mergeCell ref="D64:E64"/>
    <mergeCell ref="B73:C73"/>
    <mergeCell ref="D73:E73"/>
    <mergeCell ref="B74:C74"/>
    <mergeCell ref="D74:E74"/>
    <mergeCell ref="B75:C75"/>
    <mergeCell ref="D75:E75"/>
    <mergeCell ref="B70:C70"/>
    <mergeCell ref="D70:E70"/>
    <mergeCell ref="B71:C71"/>
    <mergeCell ref="D71:E71"/>
    <mergeCell ref="B72:C72"/>
    <mergeCell ref="D72:E72"/>
    <mergeCell ref="B68:C68"/>
    <mergeCell ref="D68:E68"/>
    <mergeCell ref="B85:C85"/>
    <mergeCell ref="D85:E85"/>
    <mergeCell ref="B86:C86"/>
    <mergeCell ref="D86:E86"/>
    <mergeCell ref="B87:C87"/>
    <mergeCell ref="D87:E87"/>
    <mergeCell ref="B76:C76"/>
    <mergeCell ref="D76:E76"/>
    <mergeCell ref="B77:C77"/>
    <mergeCell ref="B91:C91"/>
    <mergeCell ref="D91:E91"/>
    <mergeCell ref="B92:C92"/>
    <mergeCell ref="D92:E92"/>
    <mergeCell ref="B93:C93"/>
    <mergeCell ref="D93:E93"/>
    <mergeCell ref="B88:C88"/>
    <mergeCell ref="D88:E88"/>
    <mergeCell ref="B89:C89"/>
    <mergeCell ref="D89:E89"/>
    <mergeCell ref="B90:C90"/>
    <mergeCell ref="D90:E90"/>
    <mergeCell ref="B97:C97"/>
    <mergeCell ref="D97:E97"/>
    <mergeCell ref="B98:C98"/>
    <mergeCell ref="D98:E98"/>
    <mergeCell ref="B100:C100"/>
    <mergeCell ref="D100:E100"/>
    <mergeCell ref="B94:C94"/>
    <mergeCell ref="D94:E94"/>
    <mergeCell ref="B95:C95"/>
    <mergeCell ref="D95:E95"/>
    <mergeCell ref="B96:C96"/>
    <mergeCell ref="D96:E96"/>
    <mergeCell ref="B99:C99"/>
    <mergeCell ref="D99:E99"/>
    <mergeCell ref="D123:E123"/>
    <mergeCell ref="B104:C104"/>
    <mergeCell ref="D104:E104"/>
    <mergeCell ref="B105:C105"/>
    <mergeCell ref="D105:E105"/>
    <mergeCell ref="F105:G105"/>
    <mergeCell ref="B101:C101"/>
    <mergeCell ref="D101:E101"/>
    <mergeCell ref="B102:C102"/>
    <mergeCell ref="D102:E102"/>
    <mergeCell ref="B103:C103"/>
    <mergeCell ref="D103:E103"/>
    <mergeCell ref="B116:C116"/>
    <mergeCell ref="D116:E116"/>
    <mergeCell ref="B117:C117"/>
    <mergeCell ref="B118:C118"/>
    <mergeCell ref="B119:C119"/>
    <mergeCell ref="B120:C120"/>
    <mergeCell ref="D117:E117"/>
    <mergeCell ref="D118:E118"/>
    <mergeCell ref="D119:E119"/>
    <mergeCell ref="D120:E120"/>
    <mergeCell ref="F130:G130"/>
    <mergeCell ref="B175:C175"/>
    <mergeCell ref="D111:E111"/>
    <mergeCell ref="D112:E112"/>
    <mergeCell ref="D113:E113"/>
    <mergeCell ref="D114:E114"/>
    <mergeCell ref="D115:E115"/>
    <mergeCell ref="B111:C111"/>
    <mergeCell ref="B112:C112"/>
    <mergeCell ref="B113:C113"/>
    <mergeCell ref="B114:C114"/>
    <mergeCell ref="B115:C115"/>
    <mergeCell ref="B173:C173"/>
    <mergeCell ref="D173:E173"/>
    <mergeCell ref="B174:C174"/>
    <mergeCell ref="D130:E130"/>
    <mergeCell ref="B155:C155"/>
    <mergeCell ref="D155:E155"/>
    <mergeCell ref="B172:C172"/>
    <mergeCell ref="D172:E172"/>
    <mergeCell ref="B121:C121"/>
    <mergeCell ref="D121:E121"/>
    <mergeCell ref="B122:C122"/>
    <mergeCell ref="B123:C123"/>
    <mergeCell ref="F71:G71"/>
    <mergeCell ref="B124:C124"/>
    <mergeCell ref="B125:C125"/>
    <mergeCell ref="B126:C126"/>
    <mergeCell ref="B127:C127"/>
    <mergeCell ref="B128:C128"/>
    <mergeCell ref="B129:C129"/>
    <mergeCell ref="D124:E124"/>
    <mergeCell ref="D125:E125"/>
    <mergeCell ref="D126:E126"/>
    <mergeCell ref="D127:E127"/>
    <mergeCell ref="D128:E128"/>
    <mergeCell ref="D129:E129"/>
    <mergeCell ref="B106:C106"/>
    <mergeCell ref="D106:E106"/>
    <mergeCell ref="B107:C107"/>
    <mergeCell ref="B108:C108"/>
    <mergeCell ref="B109:C109"/>
    <mergeCell ref="B110:C110"/>
    <mergeCell ref="D107:E107"/>
    <mergeCell ref="D108:E108"/>
    <mergeCell ref="D109:E109"/>
    <mergeCell ref="D110:E110"/>
    <mergeCell ref="D122:E122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67:C167"/>
    <mergeCell ref="D131:E131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67:E167"/>
    <mergeCell ref="B145:C145"/>
    <mergeCell ref="D145:E145"/>
    <mergeCell ref="F171:G171"/>
    <mergeCell ref="B15:C15"/>
    <mergeCell ref="B149:C149"/>
    <mergeCell ref="B150:C150"/>
    <mergeCell ref="B151:C151"/>
    <mergeCell ref="B152:C152"/>
    <mergeCell ref="D149:E149"/>
    <mergeCell ref="D150:E150"/>
    <mergeCell ref="D151:E151"/>
    <mergeCell ref="D152:E152"/>
    <mergeCell ref="B153:C153"/>
    <mergeCell ref="D153:E153"/>
    <mergeCell ref="D154:E154"/>
    <mergeCell ref="B154:C154"/>
    <mergeCell ref="B146:C146"/>
    <mergeCell ref="B147:C147"/>
    <mergeCell ref="B148:C148"/>
    <mergeCell ref="B165:C165"/>
    <mergeCell ref="B166:C166"/>
    <mergeCell ref="D146:E146"/>
    <mergeCell ref="D147:E147"/>
    <mergeCell ref="D148:E148"/>
    <mergeCell ref="D165:E165"/>
    <mergeCell ref="D166:E166"/>
    <mergeCell ref="B156:C156"/>
    <mergeCell ref="D156:E156"/>
    <mergeCell ref="B157:C157"/>
    <mergeCell ref="D157:E157"/>
    <mergeCell ref="B158:C158"/>
    <mergeCell ref="D158:E158"/>
    <mergeCell ref="B159:C159"/>
    <mergeCell ref="D159:E159"/>
    <mergeCell ref="B160:C160"/>
    <mergeCell ref="D160:E160"/>
    <mergeCell ref="B161:C161"/>
    <mergeCell ref="D161:E161"/>
    <mergeCell ref="B162:C162"/>
    <mergeCell ref="D162:E162"/>
    <mergeCell ref="B163:C163"/>
    <mergeCell ref="B164:C164"/>
    <mergeCell ref="D163:E163"/>
    <mergeCell ref="D164:E164"/>
    <mergeCell ref="F163:G163"/>
    <mergeCell ref="F162:G162"/>
  </mergeCells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04B80-ED71-A845-B5C5-4D69A5B8ED7D}">
  <dimension ref="A1:J40"/>
  <sheetViews>
    <sheetView workbookViewId="0">
      <selection activeCell="A4" sqref="A4:C4"/>
    </sheetView>
  </sheetViews>
  <sheetFormatPr baseColWidth="10" defaultColWidth="11.1640625" defaultRowHeight="16" x14ac:dyDescent="0.2"/>
  <cols>
    <col min="3" max="3" width="12.5" customWidth="1"/>
    <col min="10" max="10" width="11.6640625" bestFit="1" customWidth="1"/>
  </cols>
  <sheetData>
    <row r="1" spans="1:10" x14ac:dyDescent="0.2">
      <c r="A1" s="262" t="s">
        <v>149</v>
      </c>
      <c r="B1" s="262"/>
      <c r="C1" s="262"/>
      <c r="D1" s="262"/>
      <c r="E1" s="262"/>
      <c r="F1" s="262"/>
      <c r="G1" s="262"/>
      <c r="H1" s="262"/>
      <c r="I1" s="262"/>
    </row>
    <row r="3" spans="1:10" x14ac:dyDescent="0.2">
      <c r="A3" s="262" t="s">
        <v>150</v>
      </c>
      <c r="B3" s="262"/>
      <c r="C3" s="262"/>
      <c r="D3" s="262"/>
      <c r="E3" s="262"/>
      <c r="F3" s="262"/>
      <c r="G3" s="262"/>
      <c r="H3" s="23">
        <v>310369</v>
      </c>
    </row>
    <row r="4" spans="1:10" x14ac:dyDescent="0.2">
      <c r="A4" s="80" t="s">
        <v>171</v>
      </c>
      <c r="B4" s="80"/>
      <c r="C4" s="80"/>
    </row>
    <row r="6" spans="1:10" x14ac:dyDescent="0.2">
      <c r="A6" s="262" t="s">
        <v>69</v>
      </c>
      <c r="B6" s="262"/>
      <c r="C6" s="262"/>
      <c r="D6" s="262"/>
      <c r="E6" s="262"/>
      <c r="F6" s="262"/>
      <c r="G6" s="262"/>
      <c r="H6" s="262"/>
    </row>
    <row r="7" spans="1:10" x14ac:dyDescent="0.2">
      <c r="B7" s="141"/>
      <c r="C7" s="141"/>
      <c r="D7" s="141"/>
      <c r="E7" s="141"/>
      <c r="F7" s="141"/>
      <c r="G7" s="141"/>
      <c r="H7" s="141"/>
    </row>
    <row r="8" spans="1:10" x14ac:dyDescent="0.2">
      <c r="A8" s="3" t="s">
        <v>159</v>
      </c>
      <c r="B8" s="3" t="s">
        <v>151</v>
      </c>
      <c r="C8" s="3"/>
      <c r="D8" s="3" t="s">
        <v>152</v>
      </c>
      <c r="E8" s="3"/>
      <c r="F8" s="3"/>
      <c r="G8" s="3"/>
      <c r="H8" s="6">
        <v>650</v>
      </c>
    </row>
    <row r="9" spans="1:10" x14ac:dyDescent="0.2">
      <c r="A9" s="3" t="s">
        <v>160</v>
      </c>
      <c r="B9" s="266" t="s">
        <v>151</v>
      </c>
      <c r="C9" s="266"/>
      <c r="D9" s="266" t="s">
        <v>153</v>
      </c>
      <c r="E9" s="266"/>
      <c r="F9" s="266"/>
      <c r="G9" s="266"/>
      <c r="H9" s="78">
        <v>3171.84</v>
      </c>
      <c r="I9" s="24"/>
    </row>
    <row r="10" spans="1:10" ht="32" customHeight="1" x14ac:dyDescent="0.2">
      <c r="A10" s="40" t="s">
        <v>160</v>
      </c>
      <c r="B10" s="264" t="s">
        <v>151</v>
      </c>
      <c r="C10" s="264"/>
      <c r="D10" s="263" t="s">
        <v>154</v>
      </c>
      <c r="E10" s="264"/>
      <c r="F10" s="264"/>
      <c r="G10" s="264"/>
      <c r="H10" s="79">
        <v>11065.6</v>
      </c>
      <c r="I10" s="24"/>
    </row>
    <row r="11" spans="1:10" ht="32" customHeight="1" x14ac:dyDescent="0.2">
      <c r="A11" s="40" t="s">
        <v>160</v>
      </c>
      <c r="B11" s="264" t="s">
        <v>151</v>
      </c>
      <c r="C11" s="264"/>
      <c r="D11" s="263" t="s">
        <v>155</v>
      </c>
      <c r="E11" s="264"/>
      <c r="F11" s="264"/>
      <c r="G11" s="264"/>
      <c r="H11" s="79">
        <v>11592</v>
      </c>
      <c r="I11" s="24"/>
    </row>
    <row r="12" spans="1:10" ht="63" customHeight="1" x14ac:dyDescent="0.2">
      <c r="A12" s="40" t="s">
        <v>160</v>
      </c>
      <c r="B12" s="264" t="s">
        <v>151</v>
      </c>
      <c r="C12" s="264"/>
      <c r="D12" s="263" t="s">
        <v>156</v>
      </c>
      <c r="E12" s="264"/>
      <c r="F12" s="264"/>
      <c r="G12" s="264"/>
      <c r="H12" s="79">
        <v>3024</v>
      </c>
      <c r="I12" s="24"/>
    </row>
    <row r="13" spans="1:10" x14ac:dyDescent="0.2">
      <c r="A13" s="3" t="s">
        <v>161</v>
      </c>
      <c r="B13" s="264" t="s">
        <v>157</v>
      </c>
      <c r="C13" s="264"/>
      <c r="D13" s="263" t="s">
        <v>158</v>
      </c>
      <c r="E13" s="263"/>
      <c r="F13" s="263"/>
      <c r="G13" s="263"/>
      <c r="H13" s="78">
        <v>2947</v>
      </c>
      <c r="I13" s="24">
        <f>SUM(H8:H13)</f>
        <v>32450.440000000002</v>
      </c>
      <c r="J13" s="23"/>
    </row>
    <row r="14" spans="1:10" x14ac:dyDescent="0.2">
      <c r="B14" s="262"/>
      <c r="C14" s="262"/>
      <c r="D14" s="262"/>
      <c r="E14" s="262"/>
      <c r="F14" s="262"/>
      <c r="G14" s="262"/>
      <c r="I14" s="24"/>
    </row>
    <row r="15" spans="1:10" x14ac:dyDescent="0.2">
      <c r="A15" s="265" t="s">
        <v>162</v>
      </c>
      <c r="B15" s="265"/>
      <c r="C15" s="265"/>
      <c r="D15" s="265"/>
      <c r="E15" s="265"/>
      <c r="F15" s="265"/>
      <c r="G15" s="265"/>
      <c r="H15" s="265"/>
      <c r="I15" s="25">
        <f>SUM(H3-I13)</f>
        <v>277918.56</v>
      </c>
    </row>
    <row r="16" spans="1:10" x14ac:dyDescent="0.2">
      <c r="B16" s="262"/>
      <c r="C16" s="262"/>
      <c r="D16" s="262"/>
      <c r="E16" s="262"/>
      <c r="F16" s="262"/>
      <c r="G16" s="262"/>
      <c r="I16" s="24"/>
    </row>
    <row r="17" spans="2:10" x14ac:dyDescent="0.2">
      <c r="B17" s="262"/>
      <c r="C17" s="262"/>
      <c r="D17" s="262"/>
      <c r="E17" s="262"/>
      <c r="F17" s="262"/>
      <c r="G17" s="262"/>
      <c r="I17" s="24"/>
    </row>
    <row r="18" spans="2:10" x14ac:dyDescent="0.2">
      <c r="B18" s="262"/>
      <c r="C18" s="262"/>
      <c r="D18" s="262"/>
      <c r="E18" s="262"/>
      <c r="F18" s="262"/>
      <c r="G18" s="262"/>
      <c r="I18" s="24"/>
    </row>
    <row r="19" spans="2:10" x14ac:dyDescent="0.2">
      <c r="B19" s="262"/>
      <c r="C19" s="262"/>
      <c r="D19" s="262"/>
      <c r="E19" s="262"/>
      <c r="F19" s="262"/>
      <c r="G19" s="262"/>
      <c r="I19" s="24"/>
    </row>
    <row r="20" spans="2:10" x14ac:dyDescent="0.2">
      <c r="B20" s="262"/>
      <c r="C20" s="262"/>
      <c r="D20" s="262"/>
      <c r="E20" s="262"/>
      <c r="F20" s="262"/>
      <c r="G20" s="262"/>
      <c r="I20" s="24"/>
    </row>
    <row r="21" spans="2:10" x14ac:dyDescent="0.2">
      <c r="B21" s="262"/>
      <c r="C21" s="262"/>
      <c r="D21" s="262"/>
      <c r="E21" s="262"/>
      <c r="F21" s="262"/>
      <c r="G21" s="262"/>
      <c r="I21" s="24"/>
    </row>
    <row r="22" spans="2:10" x14ac:dyDescent="0.2">
      <c r="B22" s="262"/>
      <c r="C22" s="262"/>
      <c r="D22" s="262"/>
      <c r="E22" s="262"/>
      <c r="F22" s="262"/>
      <c r="G22" s="262"/>
      <c r="I22" s="24"/>
    </row>
    <row r="23" spans="2:10" x14ac:dyDescent="0.2">
      <c r="B23" s="262"/>
      <c r="C23" s="262"/>
      <c r="D23" s="262"/>
      <c r="E23" s="262"/>
      <c r="F23" s="262"/>
      <c r="G23" s="262"/>
      <c r="I23" s="24"/>
    </row>
    <row r="24" spans="2:10" x14ac:dyDescent="0.2">
      <c r="B24" s="262"/>
      <c r="C24" s="262"/>
      <c r="D24" s="262"/>
      <c r="E24" s="262"/>
      <c r="F24" s="262"/>
      <c r="G24" s="262"/>
      <c r="I24" s="24"/>
    </row>
    <row r="25" spans="2:10" x14ac:dyDescent="0.2">
      <c r="B25" s="262"/>
      <c r="C25" s="262"/>
      <c r="D25" s="262"/>
      <c r="E25" s="262"/>
      <c r="F25" s="262"/>
      <c r="G25" s="262"/>
      <c r="I25" s="24"/>
      <c r="J25" s="23"/>
    </row>
    <row r="26" spans="2:10" x14ac:dyDescent="0.2">
      <c r="B26" s="262"/>
      <c r="C26" s="262"/>
      <c r="D26" s="262"/>
      <c r="E26" s="262"/>
      <c r="F26" s="262"/>
      <c r="G26" s="262"/>
      <c r="I26" s="24"/>
    </row>
    <row r="27" spans="2:10" x14ac:dyDescent="0.2">
      <c r="B27" s="262"/>
      <c r="C27" s="262"/>
      <c r="D27" s="262"/>
      <c r="E27" s="262"/>
      <c r="F27" s="262"/>
      <c r="G27" s="262"/>
      <c r="I27" s="24"/>
    </row>
    <row r="28" spans="2:10" x14ac:dyDescent="0.2">
      <c r="B28" s="262"/>
      <c r="C28" s="262"/>
      <c r="D28" s="262"/>
      <c r="E28" s="262"/>
      <c r="F28" s="262"/>
      <c r="G28" s="262"/>
      <c r="I28" s="24"/>
    </row>
    <row r="29" spans="2:10" x14ac:dyDescent="0.2">
      <c r="B29" s="262"/>
      <c r="C29" s="262"/>
      <c r="D29" s="262"/>
      <c r="E29" s="262"/>
      <c r="F29" s="262"/>
      <c r="G29" s="262"/>
      <c r="I29" s="24"/>
      <c r="J29" s="23"/>
    </row>
    <row r="30" spans="2:10" x14ac:dyDescent="0.2">
      <c r="B30" s="262"/>
      <c r="C30" s="262"/>
      <c r="D30" s="262"/>
      <c r="E30" s="262"/>
      <c r="F30" s="262"/>
      <c r="G30" s="262"/>
      <c r="I30" s="24"/>
    </row>
    <row r="31" spans="2:10" x14ac:dyDescent="0.2">
      <c r="B31" s="262"/>
      <c r="C31" s="262"/>
      <c r="D31" s="262"/>
      <c r="E31" s="262"/>
      <c r="F31" s="262"/>
      <c r="G31" s="262"/>
      <c r="I31" s="24"/>
    </row>
    <row r="32" spans="2:10" x14ac:dyDescent="0.2">
      <c r="B32" s="262"/>
      <c r="C32" s="262"/>
      <c r="D32" s="262"/>
      <c r="E32" s="262"/>
      <c r="F32" s="262"/>
      <c r="G32" s="262"/>
      <c r="I32" s="24"/>
    </row>
    <row r="33" spans="2:9" x14ac:dyDescent="0.2">
      <c r="B33" s="262"/>
      <c r="C33" s="262"/>
      <c r="D33" s="262"/>
      <c r="E33" s="262"/>
      <c r="F33" s="262"/>
      <c r="G33" s="262"/>
      <c r="I33" s="24"/>
    </row>
    <row r="34" spans="2:9" x14ac:dyDescent="0.2">
      <c r="I34" s="24"/>
    </row>
    <row r="35" spans="2:9" x14ac:dyDescent="0.2">
      <c r="I35" s="24"/>
    </row>
    <row r="36" spans="2:9" x14ac:dyDescent="0.2">
      <c r="I36" s="24"/>
    </row>
    <row r="37" spans="2:9" x14ac:dyDescent="0.2">
      <c r="I37" s="24"/>
    </row>
    <row r="38" spans="2:9" x14ac:dyDescent="0.2">
      <c r="I38" s="24"/>
    </row>
    <row r="39" spans="2:9" x14ac:dyDescent="0.2">
      <c r="I39" s="24"/>
    </row>
    <row r="40" spans="2:9" x14ac:dyDescent="0.2">
      <c r="I40" s="24"/>
    </row>
  </sheetData>
  <mergeCells count="53">
    <mergeCell ref="A1:I1"/>
    <mergeCell ref="A3:G3"/>
    <mergeCell ref="A15:H15"/>
    <mergeCell ref="D31:G31"/>
    <mergeCell ref="D32:G32"/>
    <mergeCell ref="B32:C32"/>
    <mergeCell ref="B9:C9"/>
    <mergeCell ref="D9:G9"/>
    <mergeCell ref="B13:C13"/>
    <mergeCell ref="B27:C27"/>
    <mergeCell ref="B28:C28"/>
    <mergeCell ref="B29:C29"/>
    <mergeCell ref="B30:C30"/>
    <mergeCell ref="B25:C25"/>
    <mergeCell ref="B26:C26"/>
    <mergeCell ref="D23:G23"/>
    <mergeCell ref="D33:G33"/>
    <mergeCell ref="B7:H7"/>
    <mergeCell ref="A6:H6"/>
    <mergeCell ref="D25:G25"/>
    <mergeCell ref="D26:G26"/>
    <mergeCell ref="D27:G27"/>
    <mergeCell ref="D28:G28"/>
    <mergeCell ref="D29:G29"/>
    <mergeCell ref="D30:G30"/>
    <mergeCell ref="D17:G17"/>
    <mergeCell ref="D18:G18"/>
    <mergeCell ref="D19:G19"/>
    <mergeCell ref="D20:G20"/>
    <mergeCell ref="D21:G21"/>
    <mergeCell ref="D22:G22"/>
    <mergeCell ref="B31:C31"/>
    <mergeCell ref="B33:C33"/>
    <mergeCell ref="D10:G10"/>
    <mergeCell ref="D11:G11"/>
    <mergeCell ref="D12:G12"/>
    <mergeCell ref="D13:G13"/>
    <mergeCell ref="D14:G14"/>
    <mergeCell ref="D16:G16"/>
    <mergeCell ref="B19:C19"/>
    <mergeCell ref="B20:C20"/>
    <mergeCell ref="B21:C21"/>
    <mergeCell ref="B22:C22"/>
    <mergeCell ref="B23:C23"/>
    <mergeCell ref="B24:C24"/>
    <mergeCell ref="B10:C10"/>
    <mergeCell ref="B11:C11"/>
    <mergeCell ref="B12:C12"/>
    <mergeCell ref="D24:G24"/>
    <mergeCell ref="B16:C16"/>
    <mergeCell ref="B17:C17"/>
    <mergeCell ref="B18:C18"/>
    <mergeCell ref="B14:C14"/>
  </mergeCells>
  <pageMargins left="0.7" right="0.7" top="0.75" bottom="0.75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EAED9-562A-44ED-895E-E8C393ADDC08}">
  <dimension ref="A1:V65"/>
  <sheetViews>
    <sheetView topLeftCell="A15" workbookViewId="0">
      <selection activeCell="D13" sqref="D13"/>
    </sheetView>
  </sheetViews>
  <sheetFormatPr baseColWidth="10" defaultColWidth="8.83203125" defaultRowHeight="16" x14ac:dyDescent="0.2"/>
  <cols>
    <col min="1" max="1" width="46.33203125" style="84" bestFit="1" customWidth="1"/>
    <col min="2" max="2" width="17.1640625" style="111" bestFit="1" customWidth="1"/>
    <col min="3" max="3" width="18.1640625" style="111" bestFit="1" customWidth="1"/>
    <col min="4" max="4" width="31.83203125" style="111" bestFit="1" customWidth="1"/>
    <col min="5" max="5" width="36.5" style="111" bestFit="1" customWidth="1"/>
    <col min="6" max="6" width="17.1640625" bestFit="1" customWidth="1"/>
    <col min="7" max="7" width="19.1640625" bestFit="1" customWidth="1"/>
    <col min="8" max="8" width="28.6640625" bestFit="1" customWidth="1"/>
    <col min="18" max="18" width="25.33203125" bestFit="1" customWidth="1"/>
    <col min="19" max="19" width="13.1640625" bestFit="1" customWidth="1"/>
    <col min="20" max="20" width="13.83203125" bestFit="1" customWidth="1"/>
    <col min="21" max="21" width="19.33203125" bestFit="1" customWidth="1"/>
    <col min="22" max="22" width="12" bestFit="1" customWidth="1"/>
  </cols>
  <sheetData>
    <row r="1" spans="1:22" ht="22" x14ac:dyDescent="0.2">
      <c r="A1" s="120" t="s">
        <v>211</v>
      </c>
      <c r="B1" s="120"/>
      <c r="C1" s="120"/>
      <c r="D1" s="120"/>
      <c r="E1" s="120"/>
      <c r="F1" s="120"/>
      <c r="G1" s="120"/>
      <c r="H1" s="120"/>
      <c r="I1" s="88"/>
      <c r="J1" s="88"/>
      <c r="K1" s="88"/>
      <c r="L1" s="88"/>
      <c r="M1" s="88"/>
      <c r="N1" s="88"/>
      <c r="O1" s="88"/>
      <c r="P1" s="88"/>
      <c r="Q1" s="88"/>
      <c r="R1" s="88" t="s">
        <v>266</v>
      </c>
      <c r="S1" s="88" t="s">
        <v>1</v>
      </c>
      <c r="T1" s="88" t="s">
        <v>216</v>
      </c>
      <c r="U1" s="88" t="s">
        <v>218</v>
      </c>
      <c r="V1" s="88"/>
    </row>
    <row r="2" spans="1:22" x14ac:dyDescent="0.2">
      <c r="A2" s="121" t="s">
        <v>212</v>
      </c>
      <c r="B2" s="121"/>
      <c r="C2" s="121"/>
      <c r="D2" s="121"/>
      <c r="E2" s="121"/>
      <c r="F2" s="121"/>
      <c r="G2" s="121"/>
      <c r="H2" s="121"/>
      <c r="I2" s="88"/>
      <c r="J2" s="88"/>
      <c r="K2" s="88"/>
      <c r="L2" s="88"/>
      <c r="M2" s="88"/>
      <c r="N2" s="88"/>
      <c r="O2" s="88"/>
      <c r="P2" s="88"/>
      <c r="Q2" s="88"/>
      <c r="R2" s="88" t="s">
        <v>5</v>
      </c>
      <c r="S2" s="89">
        <f t="shared" ref="S2:T4" si="0">B8</f>
        <v>95530</v>
      </c>
      <c r="T2" s="89">
        <f t="shared" si="0"/>
        <v>45867</v>
      </c>
      <c r="U2" s="89">
        <f>E8</f>
        <v>183468</v>
      </c>
      <c r="V2" s="89"/>
    </row>
    <row r="3" spans="1:22" x14ac:dyDescent="0.2">
      <c r="A3" s="122" t="s">
        <v>281</v>
      </c>
      <c r="B3" s="122"/>
      <c r="C3" s="122"/>
      <c r="D3" s="122"/>
      <c r="E3" s="122"/>
      <c r="F3" s="122"/>
      <c r="G3" s="122"/>
      <c r="H3" s="122"/>
      <c r="I3" s="88"/>
      <c r="J3" s="88"/>
      <c r="K3" s="88"/>
      <c r="L3" s="88"/>
      <c r="M3" s="88"/>
      <c r="N3" s="88"/>
      <c r="O3" s="88"/>
      <c r="P3" s="88"/>
      <c r="Q3" s="88"/>
      <c r="R3" s="88" t="s">
        <v>219</v>
      </c>
      <c r="S3" s="89">
        <f t="shared" si="0"/>
        <v>90600</v>
      </c>
      <c r="T3" s="89">
        <f t="shared" si="0"/>
        <v>25334</v>
      </c>
      <c r="U3" s="89">
        <f>E9</f>
        <v>101336</v>
      </c>
      <c r="V3" s="89"/>
    </row>
    <row r="4" spans="1:22" x14ac:dyDescent="0.2">
      <c r="A4" s="112" t="s">
        <v>213</v>
      </c>
      <c r="B4" s="98">
        <v>3</v>
      </c>
      <c r="C4" s="99"/>
      <c r="D4" s="99"/>
      <c r="E4" s="99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 t="s">
        <v>220</v>
      </c>
      <c r="S4" s="89">
        <f t="shared" si="0"/>
        <v>4930</v>
      </c>
      <c r="T4" s="89">
        <f t="shared" si="0"/>
        <v>20533</v>
      </c>
      <c r="U4" s="89">
        <f>E10</f>
        <v>82132</v>
      </c>
      <c r="V4" s="89"/>
    </row>
    <row r="5" spans="1:22" x14ac:dyDescent="0.2">
      <c r="A5" s="112" t="s">
        <v>214</v>
      </c>
      <c r="B5" s="98">
        <f>12/$B$4</f>
        <v>4</v>
      </c>
      <c r="C5" s="99"/>
      <c r="D5" s="99"/>
      <c r="E5" s="99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9"/>
      <c r="T5" s="89"/>
      <c r="U5" s="89"/>
      <c r="V5" s="89"/>
    </row>
    <row r="6" spans="1:22" x14ac:dyDescent="0.2">
      <c r="A6" s="112"/>
      <c r="B6" s="99"/>
      <c r="C6" s="99"/>
      <c r="D6" s="99"/>
      <c r="E6" s="99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9"/>
      <c r="T6" s="89"/>
      <c r="U6" s="89"/>
      <c r="V6" s="89"/>
    </row>
    <row r="7" spans="1:22" x14ac:dyDescent="0.2">
      <c r="A7" s="113" t="s">
        <v>215</v>
      </c>
      <c r="B7" s="100" t="s">
        <v>1</v>
      </c>
      <c r="C7" s="100" t="s">
        <v>216</v>
      </c>
      <c r="D7" s="100" t="s">
        <v>217</v>
      </c>
      <c r="E7" s="100" t="s">
        <v>218</v>
      </c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 t="s">
        <v>253</v>
      </c>
      <c r="S7" s="89" t="s">
        <v>1</v>
      </c>
      <c r="T7" s="89" t="s">
        <v>216</v>
      </c>
      <c r="U7" s="89"/>
      <c r="V7" s="89"/>
    </row>
    <row r="8" spans="1:22" x14ac:dyDescent="0.2">
      <c r="A8" s="114" t="s">
        <v>5</v>
      </c>
      <c r="B8" s="101">
        <f>Budget!C18</f>
        <v>95530</v>
      </c>
      <c r="C8" s="101">
        <f>Budget!D18</f>
        <v>45867</v>
      </c>
      <c r="D8" s="102">
        <f>IFERROR(C8/B8,0)</f>
        <v>0.48013189573955828</v>
      </c>
      <c r="E8" s="101">
        <f>IFERROR(C8/$B$4*12,0)</f>
        <v>183468</v>
      </c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 t="s">
        <v>26</v>
      </c>
      <c r="S8" s="89">
        <f>Budget!C33</f>
        <v>150</v>
      </c>
      <c r="T8" s="89">
        <f>Budget!D33</f>
        <v>873</v>
      </c>
      <c r="U8" s="89"/>
      <c r="V8" s="89"/>
    </row>
    <row r="9" spans="1:22" x14ac:dyDescent="0.2">
      <c r="A9" s="114" t="s">
        <v>219</v>
      </c>
      <c r="B9" s="101">
        <f>Budget!C49</f>
        <v>90600</v>
      </c>
      <c r="C9" s="101">
        <f>Budget!D49</f>
        <v>25334</v>
      </c>
      <c r="D9" s="102">
        <f>IFERROR(C9/B9,0)</f>
        <v>0.27962472406181016</v>
      </c>
      <c r="E9" s="101">
        <f>IFERROR(C9/$B$4*12,0)</f>
        <v>101336</v>
      </c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 t="s">
        <v>35</v>
      </c>
      <c r="S9" s="89">
        <f>Budget!C45</f>
        <v>1750</v>
      </c>
      <c r="T9" s="89">
        <f>Budget!D45</f>
        <v>1896</v>
      </c>
      <c r="U9" s="89"/>
      <c r="V9" s="89"/>
    </row>
    <row r="10" spans="1:22" x14ac:dyDescent="0.2">
      <c r="A10" s="115" t="s">
        <v>220</v>
      </c>
      <c r="B10" s="103">
        <f>B8-B9</f>
        <v>4930</v>
      </c>
      <c r="C10" s="103">
        <f>C8-C9</f>
        <v>20533</v>
      </c>
      <c r="D10" s="104">
        <f>IFERROR(C10/B10,0)</f>
        <v>4.1649087221095336</v>
      </c>
      <c r="E10" s="103">
        <f>E8-E9</f>
        <v>82132</v>
      </c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 t="s">
        <v>25</v>
      </c>
      <c r="S10" s="89">
        <f>Budget!C32</f>
        <v>4000</v>
      </c>
      <c r="T10" s="89">
        <f>Budget!D32</f>
        <v>2848</v>
      </c>
      <c r="U10" s="89"/>
      <c r="V10" s="89"/>
    </row>
    <row r="11" spans="1:22" x14ac:dyDescent="0.2">
      <c r="A11" s="112"/>
      <c r="B11" s="99"/>
      <c r="C11" s="99"/>
      <c r="D11" s="99"/>
      <c r="E11" s="99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 t="s">
        <v>9</v>
      </c>
      <c r="S11" s="89">
        <f>Budget!C31</f>
        <v>1600</v>
      </c>
      <c r="T11" s="89">
        <f>Budget!D31</f>
        <v>868</v>
      </c>
      <c r="U11" s="89"/>
      <c r="V11" s="89"/>
    </row>
    <row r="12" spans="1:22" x14ac:dyDescent="0.2">
      <c r="A12" s="113" t="s">
        <v>221</v>
      </c>
      <c r="B12" s="100" t="s">
        <v>222</v>
      </c>
      <c r="C12" s="100" t="s">
        <v>223</v>
      </c>
      <c r="D12" s="100" t="s">
        <v>224</v>
      </c>
      <c r="E12" s="100" t="s">
        <v>225</v>
      </c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 t="s">
        <v>130</v>
      </c>
      <c r="S12" s="89">
        <f>Budget!C24</f>
        <v>6000</v>
      </c>
      <c r="T12" s="89">
        <f>Budget!D24</f>
        <v>2606</v>
      </c>
      <c r="U12" s="89"/>
      <c r="V12" s="89"/>
    </row>
    <row r="13" spans="1:22" ht="17" x14ac:dyDescent="0.2">
      <c r="A13" s="114" t="s">
        <v>226</v>
      </c>
      <c r="B13" s="101">
        <f>B10</f>
        <v>4930</v>
      </c>
      <c r="C13" s="105" t="str">
        <f>IF(B13&gt;=0,"Favourable","Deficit")</f>
        <v>Favourable</v>
      </c>
      <c r="D13" s="105" t="str">
        <f>"Budget!C18-C49"</f>
        <v>Budget!C18-C49</v>
      </c>
      <c r="E13" s="106" t="s">
        <v>232</v>
      </c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 t="s">
        <v>31</v>
      </c>
      <c r="S13" s="89">
        <f>Budget!C40</f>
        <v>4000</v>
      </c>
      <c r="T13" s="89">
        <f>Budget!D40</f>
        <v>1663</v>
      </c>
      <c r="U13" s="89"/>
      <c r="V13" s="89"/>
    </row>
    <row r="14" spans="1:22" ht="34" x14ac:dyDescent="0.2">
      <c r="A14" s="114" t="s">
        <v>227</v>
      </c>
      <c r="B14" s="101">
        <f>C10</f>
        <v>20533</v>
      </c>
      <c r="C14" s="105" t="str">
        <f>IF(B14&gt;=0,"Favourable","Deficit")</f>
        <v>Favourable</v>
      </c>
      <c r="D14" s="105" t="str">
        <f>"Budget!D18-D49"</f>
        <v>Budget!D18-D49</v>
      </c>
      <c r="E14" s="106" t="s">
        <v>233</v>
      </c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 t="s">
        <v>23</v>
      </c>
      <c r="S14" s="89">
        <f>Budget!C29</f>
        <v>9000</v>
      </c>
      <c r="T14" s="89">
        <f>Budget!D29</f>
        <v>3520</v>
      </c>
      <c r="U14" s="89"/>
      <c r="V14" s="89"/>
    </row>
    <row r="15" spans="1:22" ht="34" x14ac:dyDescent="0.2">
      <c r="A15" s="114" t="s">
        <v>228</v>
      </c>
      <c r="B15" s="101">
        <f>E9-B9</f>
        <v>10736</v>
      </c>
      <c r="C15" s="105" t="str">
        <f>IF(B15&gt;0,"Overspend risk","Within budget")</f>
        <v>Overspend risk</v>
      </c>
      <c r="D15" s="105" t="str">
        <f>"Budget!D49 trend"</f>
        <v>Budget!D49 trend</v>
      </c>
      <c r="E15" s="106" t="s">
        <v>234</v>
      </c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 t="s">
        <v>8</v>
      </c>
      <c r="S15" s="89">
        <f>Budget!C38</f>
        <v>800</v>
      </c>
      <c r="T15" s="89">
        <f>Budget!D38</f>
        <v>302</v>
      </c>
      <c r="U15" s="89"/>
      <c r="V15" s="89"/>
    </row>
    <row r="16" spans="1:22" ht="34" x14ac:dyDescent="0.2">
      <c r="A16" s="114" t="s">
        <v>229</v>
      </c>
      <c r="B16" s="101">
        <f>CIL!B175</f>
        <v>116565.73999999998</v>
      </c>
      <c r="C16" s="105" t="str">
        <f>IF(B16&gt;0,"Funds remaining","Check")</f>
        <v>Funds remaining</v>
      </c>
      <c r="D16" s="105" t="str">
        <f>"CIL!B175"</f>
        <v>CIL!B175</v>
      </c>
      <c r="E16" s="106" t="s">
        <v>235</v>
      </c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 t="s">
        <v>22</v>
      </c>
      <c r="S16" s="89">
        <f>Budget!C28</f>
        <v>11000</v>
      </c>
      <c r="T16" s="89">
        <f>Budget!D28</f>
        <v>3637</v>
      </c>
      <c r="U16" s="89"/>
      <c r="V16" s="89"/>
    </row>
    <row r="17" spans="1:22" ht="34" x14ac:dyDescent="0.2">
      <c r="A17" s="114" t="s">
        <v>230</v>
      </c>
      <c r="B17" s="101">
        <f>Greenway!I15</f>
        <v>277918.56</v>
      </c>
      <c r="C17" s="105" t="str">
        <f>IF(B17&gt;0,"Funds remaining","Check")</f>
        <v>Funds remaining</v>
      </c>
      <c r="D17" s="105" t="str">
        <f>"Greenway!I15"</f>
        <v>Greenway!I15</v>
      </c>
      <c r="E17" s="106" t="s">
        <v>236</v>
      </c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 t="s">
        <v>19</v>
      </c>
      <c r="S17" s="89">
        <f>Budget!C25</f>
        <v>2000</v>
      </c>
      <c r="T17" s="89">
        <f>Budget!D25</f>
        <v>493</v>
      </c>
      <c r="U17" s="89"/>
      <c r="V17" s="89"/>
    </row>
    <row r="18" spans="1:22" ht="34" x14ac:dyDescent="0.2">
      <c r="A18" s="115" t="s">
        <v>231</v>
      </c>
      <c r="B18" s="103">
        <f>CIL!B17-CIL!B20-CIL!B54-CIL!B172</f>
        <v>4394.1899999999732</v>
      </c>
      <c r="C18" s="107" t="str">
        <f>IF(B18&gt;0,"Limited headroom","Overspent")</f>
        <v>Limited headroom</v>
      </c>
      <c r="D18" s="107" t="str">
        <f>"CIL receipts less allocations/spend"</f>
        <v>CIL receipts less allocations/spend</v>
      </c>
      <c r="E18" s="108" t="s">
        <v>237</v>
      </c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9"/>
      <c r="T18" s="89"/>
      <c r="U18" s="89"/>
      <c r="V18" s="89"/>
    </row>
    <row r="19" spans="1:22" x14ac:dyDescent="0.2">
      <c r="A19" s="112"/>
      <c r="B19" s="99"/>
      <c r="C19" s="99"/>
      <c r="D19" s="99"/>
      <c r="E19" s="109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9"/>
      <c r="T19" s="89"/>
      <c r="U19" s="89"/>
      <c r="V19" s="89"/>
    </row>
    <row r="20" spans="1:22" x14ac:dyDescent="0.2">
      <c r="A20" s="112"/>
      <c r="B20" s="99"/>
      <c r="C20" s="99"/>
      <c r="D20" s="99"/>
      <c r="E20" s="109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9"/>
      <c r="T20" s="89"/>
      <c r="U20" s="89"/>
      <c r="V20" s="89"/>
    </row>
    <row r="21" spans="1:22" ht="17" x14ac:dyDescent="0.2">
      <c r="A21" s="113" t="s">
        <v>238</v>
      </c>
      <c r="B21" s="100" t="s">
        <v>239</v>
      </c>
      <c r="C21" s="100" t="s">
        <v>240</v>
      </c>
      <c r="D21" s="100" t="s">
        <v>241</v>
      </c>
      <c r="E21" s="110" t="s">
        <v>242</v>
      </c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 t="s">
        <v>267</v>
      </c>
      <c r="S21" s="89" t="s">
        <v>268</v>
      </c>
      <c r="T21" s="89" t="s">
        <v>269</v>
      </c>
      <c r="U21" s="89" t="s">
        <v>270</v>
      </c>
      <c r="V21" s="89" t="s">
        <v>84</v>
      </c>
    </row>
    <row r="22" spans="1:22" ht="34" x14ac:dyDescent="0.2">
      <c r="A22" s="114" t="s">
        <v>243</v>
      </c>
      <c r="B22" s="101">
        <f>CIL!B17</f>
        <v>365033.39999999997</v>
      </c>
      <c r="C22" s="101">
        <f>CIL!B46+CIL!B76+CIL!B172</f>
        <v>248467.65999999997</v>
      </c>
      <c r="D22" s="101">
        <f>CIL!B175</f>
        <v>116565.73999999998</v>
      </c>
      <c r="E22" s="106" t="s">
        <v>248</v>
      </c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 t="s">
        <v>271</v>
      </c>
      <c r="S22" s="89">
        <f>0</f>
        <v>0</v>
      </c>
      <c r="T22" s="89">
        <f>CIL!F57</f>
        <v>1200</v>
      </c>
      <c r="U22" s="89">
        <f>0</f>
        <v>0</v>
      </c>
      <c r="V22" s="89">
        <f t="shared" ref="V22:V28" si="1">SUM(S22:U22)</f>
        <v>1200</v>
      </c>
    </row>
    <row r="23" spans="1:22" ht="34" x14ac:dyDescent="0.2">
      <c r="A23" s="114" t="s">
        <v>244</v>
      </c>
      <c r="B23" s="101">
        <f>CIL!B20</f>
        <v>100000</v>
      </c>
      <c r="C23" s="101">
        <f>CIL!B46</f>
        <v>24418.5</v>
      </c>
      <c r="D23" s="101">
        <f>CIL!B47</f>
        <v>75581.5</v>
      </c>
      <c r="E23" s="106" t="s">
        <v>249</v>
      </c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 t="s">
        <v>272</v>
      </c>
      <c r="S23" s="89">
        <f>CIL!F23</f>
        <v>1048</v>
      </c>
      <c r="T23" s="89">
        <f>CIL!F61</f>
        <v>3370.95</v>
      </c>
      <c r="U23" s="89">
        <f>0</f>
        <v>0</v>
      </c>
      <c r="V23" s="89">
        <f t="shared" si="1"/>
        <v>4418.95</v>
      </c>
    </row>
    <row r="24" spans="1:22" ht="34" x14ac:dyDescent="0.2">
      <c r="A24" s="114" t="s">
        <v>245</v>
      </c>
      <c r="B24" s="101">
        <f>CIL!B54</f>
        <v>100000</v>
      </c>
      <c r="C24" s="101">
        <f>CIL!B76</f>
        <v>63409.95</v>
      </c>
      <c r="D24" s="101">
        <f>CIL!B77</f>
        <v>36590.050000000003</v>
      </c>
      <c r="E24" s="106" t="s">
        <v>250</v>
      </c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 t="s">
        <v>273</v>
      </c>
      <c r="S24" s="89">
        <f>CIL!F26</f>
        <v>3170</v>
      </c>
      <c r="T24" s="89">
        <f>CIL!F68</f>
        <v>9500</v>
      </c>
      <c r="U24" s="89">
        <f>0</f>
        <v>0</v>
      </c>
      <c r="V24" s="89">
        <f t="shared" si="1"/>
        <v>12670</v>
      </c>
    </row>
    <row r="25" spans="1:22" ht="34" x14ac:dyDescent="0.2">
      <c r="A25" s="114" t="s">
        <v>246</v>
      </c>
      <c r="B25" s="101">
        <f>CIL!B17-CIL!B20-CIL!B54</f>
        <v>165033.39999999997</v>
      </c>
      <c r="C25" s="101">
        <f>CIL!B172</f>
        <v>160639.21</v>
      </c>
      <c r="D25" s="101">
        <f>CIL!B17-CIL!B20-CIL!B54-CIL!B172</f>
        <v>4394.1899999999732</v>
      </c>
      <c r="E25" s="106" t="s">
        <v>251</v>
      </c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 t="s">
        <v>274</v>
      </c>
      <c r="S25" s="89">
        <f>CIL!F37</f>
        <v>12106.5</v>
      </c>
      <c r="T25" s="89">
        <f>CIL!F69</f>
        <v>0</v>
      </c>
      <c r="U25" s="89">
        <f>CIL!F105</f>
        <v>16471.919999999998</v>
      </c>
      <c r="V25" s="89">
        <f t="shared" si="1"/>
        <v>28578.42</v>
      </c>
    </row>
    <row r="26" spans="1:22" ht="34" x14ac:dyDescent="0.2">
      <c r="A26" s="115" t="s">
        <v>247</v>
      </c>
      <c r="B26" s="103">
        <f>Greenway!H3</f>
        <v>310369</v>
      </c>
      <c r="C26" s="103">
        <f>Greenway!I13</f>
        <v>32450.440000000002</v>
      </c>
      <c r="D26" s="103">
        <f>Greenway!I15</f>
        <v>277918.56</v>
      </c>
      <c r="E26" s="108" t="s">
        <v>252</v>
      </c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 t="s">
        <v>275</v>
      </c>
      <c r="S26" s="89">
        <f>CIL!F42</f>
        <v>8094</v>
      </c>
      <c r="T26" s="89">
        <f>CIL!F71</f>
        <v>49339</v>
      </c>
      <c r="U26" s="89">
        <f>CIL!F130</f>
        <v>71689.11</v>
      </c>
      <c r="V26" s="89">
        <f t="shared" si="1"/>
        <v>129122.11</v>
      </c>
    </row>
    <row r="27" spans="1:22" x14ac:dyDescent="0.2">
      <c r="A27" s="112"/>
      <c r="B27" s="99"/>
      <c r="C27" s="99"/>
      <c r="D27" s="99"/>
      <c r="E27" s="99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 t="s">
        <v>183</v>
      </c>
      <c r="S27" s="89">
        <f>0</f>
        <v>0</v>
      </c>
      <c r="T27" s="89">
        <f>0</f>
        <v>0</v>
      </c>
      <c r="U27" s="89">
        <f>CIL!F162</f>
        <v>53786.339999999989</v>
      </c>
      <c r="V27" s="89">
        <f t="shared" si="1"/>
        <v>53786.339999999989</v>
      </c>
    </row>
    <row r="28" spans="1:22" x14ac:dyDescent="0.2">
      <c r="A28" s="112"/>
      <c r="B28" s="99"/>
      <c r="C28" s="99"/>
      <c r="D28" s="99"/>
      <c r="E28" s="99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 t="s">
        <v>276</v>
      </c>
      <c r="S28" s="89">
        <f>0</f>
        <v>0</v>
      </c>
      <c r="T28" s="89">
        <f>0</f>
        <v>0</v>
      </c>
      <c r="U28" s="89">
        <f>SUM(CIL!B164:B168)</f>
        <v>18691.839999999997</v>
      </c>
      <c r="V28" s="89">
        <f t="shared" si="1"/>
        <v>18691.839999999997</v>
      </c>
    </row>
    <row r="29" spans="1:22" x14ac:dyDescent="0.2">
      <c r="A29" s="113" t="s">
        <v>253</v>
      </c>
      <c r="B29" s="100" t="s">
        <v>1</v>
      </c>
      <c r="C29" s="100" t="s">
        <v>216</v>
      </c>
      <c r="D29" s="100" t="s">
        <v>254</v>
      </c>
      <c r="E29" s="100" t="s">
        <v>218</v>
      </c>
      <c r="F29" s="91" t="s">
        <v>255</v>
      </c>
      <c r="G29" s="91" t="s">
        <v>256</v>
      </c>
      <c r="H29" s="91" t="s">
        <v>257</v>
      </c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</row>
    <row r="30" spans="1:22" ht="34" x14ac:dyDescent="0.2">
      <c r="A30" s="116" t="s">
        <v>128</v>
      </c>
      <c r="B30" s="101">
        <f>Budget!C21</f>
        <v>18900</v>
      </c>
      <c r="C30" s="101">
        <f>Budget!D21</f>
        <v>4542</v>
      </c>
      <c r="D30" s="102">
        <f t="shared" ref="D30:D55" si="2">IFERROR(C30/B30,0)</f>
        <v>0.24031746031746032</v>
      </c>
      <c r="E30" s="101">
        <f t="shared" ref="E30:E55" si="3">IFERROR(C30/$B$4*12,0)</f>
        <v>18168</v>
      </c>
      <c r="F30" s="92">
        <f t="shared" ref="F30:F55" si="4">E30-B30</f>
        <v>-732</v>
      </c>
      <c r="G30" s="96" t="str">
        <f t="shared" ref="G30:G55" si="5">IF(AND(B30=0,C30=0),"No budget/spend",IF(C30&gt;B30,"Already over budget",IF(F30&gt;0,"Overspend risk",IF(D30&lt;0.15,"Below profile","On profile"))))</f>
        <v>On profile</v>
      </c>
      <c r="H30" s="94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</row>
    <row r="31" spans="1:22" x14ac:dyDescent="0.2">
      <c r="A31" s="114" t="s">
        <v>129</v>
      </c>
      <c r="B31" s="101">
        <f>Budget!C22</f>
        <v>1700</v>
      </c>
      <c r="C31" s="101">
        <f>Budget!D22</f>
        <v>248</v>
      </c>
      <c r="D31" s="102">
        <f t="shared" si="2"/>
        <v>0.14588235294117646</v>
      </c>
      <c r="E31" s="101">
        <f t="shared" si="3"/>
        <v>992</v>
      </c>
      <c r="F31" s="92">
        <f t="shared" si="4"/>
        <v>-708</v>
      </c>
      <c r="G31" s="96" t="str">
        <f t="shared" si="5"/>
        <v>Below profile</v>
      </c>
      <c r="H31" s="94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</row>
    <row r="32" spans="1:22" x14ac:dyDescent="0.2">
      <c r="A32" s="114" t="s">
        <v>18</v>
      </c>
      <c r="B32" s="101">
        <f>Budget!C23</f>
        <v>1000</v>
      </c>
      <c r="C32" s="101">
        <f>Budget!D23</f>
        <v>197</v>
      </c>
      <c r="D32" s="102">
        <f t="shared" si="2"/>
        <v>0.19700000000000001</v>
      </c>
      <c r="E32" s="101">
        <f t="shared" si="3"/>
        <v>788</v>
      </c>
      <c r="F32" s="92">
        <f t="shared" si="4"/>
        <v>-212</v>
      </c>
      <c r="G32" s="96" t="str">
        <f t="shared" si="5"/>
        <v>On profile</v>
      </c>
      <c r="H32" s="94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</row>
    <row r="33" spans="1:22" x14ac:dyDescent="0.2">
      <c r="A33" s="114" t="s">
        <v>130</v>
      </c>
      <c r="B33" s="101">
        <f>Budget!C24</f>
        <v>6000</v>
      </c>
      <c r="C33" s="101">
        <f>Budget!D24</f>
        <v>2606</v>
      </c>
      <c r="D33" s="102">
        <f t="shared" si="2"/>
        <v>0.43433333333333335</v>
      </c>
      <c r="E33" s="101">
        <f t="shared" si="3"/>
        <v>10424</v>
      </c>
      <c r="F33" s="92">
        <f t="shared" si="4"/>
        <v>4424</v>
      </c>
      <c r="G33" s="96" t="str">
        <f t="shared" si="5"/>
        <v>Overspend risk</v>
      </c>
      <c r="H33" s="94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</row>
    <row r="34" spans="1:22" x14ac:dyDescent="0.2">
      <c r="A34" s="114" t="s">
        <v>19</v>
      </c>
      <c r="B34" s="101">
        <f>Budget!C25</f>
        <v>2000</v>
      </c>
      <c r="C34" s="101">
        <f>Budget!D25</f>
        <v>493</v>
      </c>
      <c r="D34" s="102">
        <f t="shared" si="2"/>
        <v>0.2465</v>
      </c>
      <c r="E34" s="101">
        <f t="shared" si="3"/>
        <v>1972</v>
      </c>
      <c r="F34" s="92">
        <f t="shared" si="4"/>
        <v>-28</v>
      </c>
      <c r="G34" s="96" t="str">
        <f t="shared" si="5"/>
        <v>On profile</v>
      </c>
      <c r="H34" s="94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</row>
    <row r="35" spans="1:22" x14ac:dyDescent="0.2">
      <c r="A35" s="114" t="s">
        <v>258</v>
      </c>
      <c r="B35" s="101">
        <f>Budget!C26</f>
        <v>7000</v>
      </c>
      <c r="C35" s="101">
        <f>Budget!D26</f>
        <v>790</v>
      </c>
      <c r="D35" s="102">
        <f t="shared" si="2"/>
        <v>0.11285714285714285</v>
      </c>
      <c r="E35" s="101">
        <f t="shared" si="3"/>
        <v>3160</v>
      </c>
      <c r="F35" s="92">
        <f t="shared" si="4"/>
        <v>-3840</v>
      </c>
      <c r="G35" s="96" t="str">
        <f t="shared" si="5"/>
        <v>Below profile</v>
      </c>
      <c r="H35" s="94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</row>
    <row r="36" spans="1:22" x14ac:dyDescent="0.2">
      <c r="A36" s="114" t="s">
        <v>22</v>
      </c>
      <c r="B36" s="101">
        <f>Budget!C28</f>
        <v>11000</v>
      </c>
      <c r="C36" s="101">
        <f>Budget!D28</f>
        <v>3637</v>
      </c>
      <c r="D36" s="102">
        <f t="shared" si="2"/>
        <v>0.33063636363636362</v>
      </c>
      <c r="E36" s="101">
        <f t="shared" si="3"/>
        <v>14548</v>
      </c>
      <c r="F36" s="92">
        <f t="shared" si="4"/>
        <v>3548</v>
      </c>
      <c r="G36" s="96" t="str">
        <f t="shared" si="5"/>
        <v>Overspend risk</v>
      </c>
      <c r="H36" s="94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</row>
    <row r="37" spans="1:22" x14ac:dyDescent="0.2">
      <c r="A37" s="114" t="s">
        <v>23</v>
      </c>
      <c r="B37" s="101">
        <f>Budget!C29</f>
        <v>9000</v>
      </c>
      <c r="C37" s="101">
        <f>Budget!D29</f>
        <v>3520</v>
      </c>
      <c r="D37" s="102">
        <f t="shared" si="2"/>
        <v>0.39111111111111113</v>
      </c>
      <c r="E37" s="101">
        <f t="shared" si="3"/>
        <v>14080</v>
      </c>
      <c r="F37" s="92">
        <f t="shared" si="4"/>
        <v>5080</v>
      </c>
      <c r="G37" s="96" t="str">
        <f t="shared" si="5"/>
        <v>Overspend risk</v>
      </c>
      <c r="H37" s="94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</row>
    <row r="38" spans="1:22" x14ac:dyDescent="0.2">
      <c r="A38" s="114" t="s">
        <v>24</v>
      </c>
      <c r="B38" s="101">
        <f>Budget!C30</f>
        <v>2500</v>
      </c>
      <c r="C38" s="101">
        <f>Budget!D30</f>
        <v>0</v>
      </c>
      <c r="D38" s="102">
        <f t="shared" si="2"/>
        <v>0</v>
      </c>
      <c r="E38" s="101">
        <f t="shared" si="3"/>
        <v>0</v>
      </c>
      <c r="F38" s="92">
        <f t="shared" si="4"/>
        <v>-2500</v>
      </c>
      <c r="G38" s="96" t="str">
        <f t="shared" si="5"/>
        <v>Below profile</v>
      </c>
      <c r="H38" s="94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</row>
    <row r="39" spans="1:22" x14ac:dyDescent="0.2">
      <c r="A39" s="114" t="s">
        <v>9</v>
      </c>
      <c r="B39" s="101">
        <f>Budget!C31</f>
        <v>1600</v>
      </c>
      <c r="C39" s="101">
        <f>Budget!D31</f>
        <v>868</v>
      </c>
      <c r="D39" s="102">
        <f t="shared" si="2"/>
        <v>0.54249999999999998</v>
      </c>
      <c r="E39" s="101">
        <f t="shared" si="3"/>
        <v>3472</v>
      </c>
      <c r="F39" s="92">
        <f t="shared" si="4"/>
        <v>1872</v>
      </c>
      <c r="G39" s="96" t="str">
        <f t="shared" si="5"/>
        <v>Overspend risk</v>
      </c>
      <c r="H39" s="94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</row>
    <row r="40" spans="1:22" x14ac:dyDescent="0.2">
      <c r="A40" s="114" t="s">
        <v>25</v>
      </c>
      <c r="B40" s="101">
        <f>Budget!C32</f>
        <v>4000</v>
      </c>
      <c r="C40" s="101">
        <f>Budget!D32</f>
        <v>2848</v>
      </c>
      <c r="D40" s="102">
        <f t="shared" si="2"/>
        <v>0.71199999999999997</v>
      </c>
      <c r="E40" s="101">
        <f t="shared" si="3"/>
        <v>11392</v>
      </c>
      <c r="F40" s="92">
        <f t="shared" si="4"/>
        <v>7392</v>
      </c>
      <c r="G40" s="96" t="str">
        <f t="shared" si="5"/>
        <v>Overspend risk</v>
      </c>
      <c r="H40" s="94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</row>
    <row r="41" spans="1:22" ht="34" x14ac:dyDescent="0.2">
      <c r="A41" s="114" t="s">
        <v>26</v>
      </c>
      <c r="B41" s="101">
        <f>Budget!C33</f>
        <v>150</v>
      </c>
      <c r="C41" s="101">
        <f>Budget!D33</f>
        <v>873</v>
      </c>
      <c r="D41" s="102">
        <f t="shared" si="2"/>
        <v>5.82</v>
      </c>
      <c r="E41" s="101">
        <f t="shared" si="3"/>
        <v>3492</v>
      </c>
      <c r="F41" s="92">
        <f t="shared" si="4"/>
        <v>3342</v>
      </c>
      <c r="G41" s="96" t="str">
        <f t="shared" si="5"/>
        <v>Already over budget</v>
      </c>
      <c r="H41" s="94" t="s">
        <v>209</v>
      </c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</row>
    <row r="42" spans="1:22" x14ac:dyDescent="0.2">
      <c r="A42" s="114" t="s">
        <v>27</v>
      </c>
      <c r="B42" s="101">
        <f>Budget!C34</f>
        <v>1600</v>
      </c>
      <c r="C42" s="101">
        <f>Budget!D34</f>
        <v>284</v>
      </c>
      <c r="D42" s="102">
        <f t="shared" si="2"/>
        <v>0.17749999999999999</v>
      </c>
      <c r="E42" s="101">
        <f t="shared" si="3"/>
        <v>1136</v>
      </c>
      <c r="F42" s="92">
        <f t="shared" si="4"/>
        <v>-464</v>
      </c>
      <c r="G42" s="96" t="str">
        <f t="shared" si="5"/>
        <v>On profile</v>
      </c>
      <c r="H42" s="94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</row>
    <row r="43" spans="1:22" x14ac:dyDescent="0.2">
      <c r="A43" s="114" t="s">
        <v>132</v>
      </c>
      <c r="B43" s="101">
        <f>Budget!C35</f>
        <v>350</v>
      </c>
      <c r="C43" s="101">
        <f>Budget!D35</f>
        <v>59</v>
      </c>
      <c r="D43" s="102">
        <f t="shared" si="2"/>
        <v>0.16857142857142857</v>
      </c>
      <c r="E43" s="101">
        <f t="shared" si="3"/>
        <v>236</v>
      </c>
      <c r="F43" s="92">
        <f t="shared" si="4"/>
        <v>-114</v>
      </c>
      <c r="G43" s="96" t="str">
        <f t="shared" si="5"/>
        <v>On profile</v>
      </c>
      <c r="H43" s="94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</row>
    <row r="44" spans="1:22" x14ac:dyDescent="0.2">
      <c r="A44" s="114" t="s">
        <v>28</v>
      </c>
      <c r="B44" s="101">
        <f>Budget!C36</f>
        <v>1000</v>
      </c>
      <c r="C44" s="101">
        <f>Budget!D36</f>
        <v>0</v>
      </c>
      <c r="D44" s="102">
        <f t="shared" si="2"/>
        <v>0</v>
      </c>
      <c r="E44" s="101">
        <f t="shared" si="3"/>
        <v>0</v>
      </c>
      <c r="F44" s="92">
        <f t="shared" si="4"/>
        <v>-1000</v>
      </c>
      <c r="G44" s="96" t="str">
        <f t="shared" si="5"/>
        <v>Below profile</v>
      </c>
      <c r="H44" s="94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</row>
    <row r="45" spans="1:22" x14ac:dyDescent="0.2">
      <c r="A45" s="114" t="s">
        <v>29</v>
      </c>
      <c r="B45" s="101">
        <f>Budget!C37</f>
        <v>2200</v>
      </c>
      <c r="C45" s="101">
        <f>Budget!D37</f>
        <v>508</v>
      </c>
      <c r="D45" s="102">
        <f t="shared" si="2"/>
        <v>0.2309090909090909</v>
      </c>
      <c r="E45" s="101">
        <f t="shared" si="3"/>
        <v>2032</v>
      </c>
      <c r="F45" s="92">
        <f t="shared" si="4"/>
        <v>-168</v>
      </c>
      <c r="G45" s="96" t="str">
        <f t="shared" si="5"/>
        <v>On profile</v>
      </c>
      <c r="H45" s="94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</row>
    <row r="46" spans="1:22" x14ac:dyDescent="0.2">
      <c r="A46" s="114" t="s">
        <v>8</v>
      </c>
      <c r="B46" s="101">
        <f>Budget!C38</f>
        <v>800</v>
      </c>
      <c r="C46" s="101">
        <f>Budget!D38</f>
        <v>302</v>
      </c>
      <c r="D46" s="102">
        <f t="shared" si="2"/>
        <v>0.3775</v>
      </c>
      <c r="E46" s="101">
        <f t="shared" si="3"/>
        <v>1208</v>
      </c>
      <c r="F46" s="92">
        <f t="shared" si="4"/>
        <v>408</v>
      </c>
      <c r="G46" s="96" t="str">
        <f t="shared" si="5"/>
        <v>Overspend risk</v>
      </c>
      <c r="H46" s="94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</row>
    <row r="47" spans="1:22" x14ac:dyDescent="0.2">
      <c r="A47" s="114" t="s">
        <v>30</v>
      </c>
      <c r="B47" s="101">
        <f>Budget!C39</f>
        <v>300</v>
      </c>
      <c r="C47" s="101">
        <f>Budget!D39</f>
        <v>0</v>
      </c>
      <c r="D47" s="102">
        <f t="shared" si="2"/>
        <v>0</v>
      </c>
      <c r="E47" s="101">
        <f t="shared" si="3"/>
        <v>0</v>
      </c>
      <c r="F47" s="92">
        <f t="shared" si="4"/>
        <v>-300</v>
      </c>
      <c r="G47" s="96" t="str">
        <f t="shared" si="5"/>
        <v>Below profile</v>
      </c>
      <c r="H47" s="94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</row>
    <row r="48" spans="1:22" x14ac:dyDescent="0.2">
      <c r="A48" s="114" t="s">
        <v>31</v>
      </c>
      <c r="B48" s="101">
        <f>Budget!C40</f>
        <v>4000</v>
      </c>
      <c r="C48" s="101">
        <f>Budget!D40</f>
        <v>1663</v>
      </c>
      <c r="D48" s="102">
        <f t="shared" si="2"/>
        <v>0.41575000000000001</v>
      </c>
      <c r="E48" s="101">
        <f t="shared" si="3"/>
        <v>6652</v>
      </c>
      <c r="F48" s="92">
        <f t="shared" si="4"/>
        <v>2652</v>
      </c>
      <c r="G48" s="96" t="str">
        <f t="shared" si="5"/>
        <v>Overspend risk</v>
      </c>
      <c r="H48" s="94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</row>
    <row r="49" spans="1:22" x14ac:dyDescent="0.2">
      <c r="A49" s="114" t="s">
        <v>32</v>
      </c>
      <c r="B49" s="101">
        <f>Budget!C41</f>
        <v>3500</v>
      </c>
      <c r="C49" s="101">
        <f>Budget!D41</f>
        <v>0</v>
      </c>
      <c r="D49" s="102">
        <f t="shared" si="2"/>
        <v>0</v>
      </c>
      <c r="E49" s="101">
        <f t="shared" si="3"/>
        <v>0</v>
      </c>
      <c r="F49" s="92">
        <f t="shared" si="4"/>
        <v>-3500</v>
      </c>
      <c r="G49" s="96" t="str">
        <f t="shared" si="5"/>
        <v>Below profile</v>
      </c>
      <c r="H49" s="94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</row>
    <row r="50" spans="1:22" x14ac:dyDescent="0.2">
      <c r="A50" s="114" t="s">
        <v>133</v>
      </c>
      <c r="B50" s="101">
        <f>Budget!C42</f>
        <v>5000</v>
      </c>
      <c r="C50" s="101">
        <f>Budget!D42</f>
        <v>0</v>
      </c>
      <c r="D50" s="102">
        <f t="shared" si="2"/>
        <v>0</v>
      </c>
      <c r="E50" s="101">
        <f t="shared" si="3"/>
        <v>0</v>
      </c>
      <c r="F50" s="92">
        <f t="shared" si="4"/>
        <v>-5000</v>
      </c>
      <c r="G50" s="96" t="str">
        <f t="shared" si="5"/>
        <v>Below profile</v>
      </c>
      <c r="H50" s="94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</row>
    <row r="51" spans="1:22" x14ac:dyDescent="0.2">
      <c r="A51" s="114" t="s">
        <v>34</v>
      </c>
      <c r="B51" s="101">
        <f>Budget!C44</f>
        <v>1000</v>
      </c>
      <c r="C51" s="101">
        <f>Budget!D44</f>
        <v>0</v>
      </c>
      <c r="D51" s="102">
        <f t="shared" si="2"/>
        <v>0</v>
      </c>
      <c r="E51" s="101">
        <f t="shared" si="3"/>
        <v>0</v>
      </c>
      <c r="F51" s="92">
        <f t="shared" si="4"/>
        <v>-1000</v>
      </c>
      <c r="G51" s="96" t="str">
        <f t="shared" si="5"/>
        <v>Below profile</v>
      </c>
      <c r="H51" s="94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</row>
    <row r="52" spans="1:22" ht="17" x14ac:dyDescent="0.2">
      <c r="A52" s="114" t="s">
        <v>35</v>
      </c>
      <c r="B52" s="101">
        <f>Budget!C45</f>
        <v>1750</v>
      </c>
      <c r="C52" s="101">
        <f>Budget!D45</f>
        <v>1896</v>
      </c>
      <c r="D52" s="102">
        <f t="shared" si="2"/>
        <v>1.0834285714285714</v>
      </c>
      <c r="E52" s="101">
        <f t="shared" si="3"/>
        <v>7584</v>
      </c>
      <c r="F52" s="92">
        <f t="shared" si="4"/>
        <v>5834</v>
      </c>
      <c r="G52" s="96" t="str">
        <f t="shared" si="5"/>
        <v>Already over budget</v>
      </c>
      <c r="H52" s="94" t="s">
        <v>208</v>
      </c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</row>
    <row r="53" spans="1:22" x14ac:dyDescent="0.2">
      <c r="A53" s="114" t="s">
        <v>36</v>
      </c>
      <c r="B53" s="101">
        <f>Budget!C46</f>
        <v>250</v>
      </c>
      <c r="C53" s="101">
        <f>Budget!D46</f>
        <v>0</v>
      </c>
      <c r="D53" s="102">
        <f t="shared" si="2"/>
        <v>0</v>
      </c>
      <c r="E53" s="101">
        <f t="shared" si="3"/>
        <v>0</v>
      </c>
      <c r="F53" s="92">
        <f t="shared" si="4"/>
        <v>-250</v>
      </c>
      <c r="G53" s="96" t="str">
        <f t="shared" si="5"/>
        <v>Below profile</v>
      </c>
      <c r="H53" s="94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</row>
    <row r="54" spans="1:22" x14ac:dyDescent="0.2">
      <c r="A54" s="114" t="s">
        <v>192</v>
      </c>
      <c r="B54" s="101">
        <f>Budget!C47</f>
        <v>1000</v>
      </c>
      <c r="C54" s="101">
        <f>Budget!D47</f>
        <v>0</v>
      </c>
      <c r="D54" s="102">
        <f t="shared" si="2"/>
        <v>0</v>
      </c>
      <c r="E54" s="101">
        <f t="shared" si="3"/>
        <v>0</v>
      </c>
      <c r="F54" s="92">
        <f t="shared" si="4"/>
        <v>-1000</v>
      </c>
      <c r="G54" s="96" t="str">
        <f t="shared" si="5"/>
        <v>Below profile</v>
      </c>
      <c r="H54" s="94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</row>
    <row r="55" spans="1:22" x14ac:dyDescent="0.2">
      <c r="A55" s="115" t="s">
        <v>37</v>
      </c>
      <c r="B55" s="103">
        <f>Budget!C48</f>
        <v>3000</v>
      </c>
      <c r="C55" s="103">
        <f>Budget!D48</f>
        <v>0</v>
      </c>
      <c r="D55" s="104">
        <f t="shared" si="2"/>
        <v>0</v>
      </c>
      <c r="E55" s="103">
        <f t="shared" si="3"/>
        <v>0</v>
      </c>
      <c r="F55" s="93">
        <f t="shared" si="4"/>
        <v>-3000</v>
      </c>
      <c r="G55" s="97" t="str">
        <f t="shared" si="5"/>
        <v>Below profile</v>
      </c>
      <c r="H55" s="95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</row>
    <row r="56" spans="1:22" x14ac:dyDescent="0.2">
      <c r="A56" s="112"/>
      <c r="B56" s="99"/>
      <c r="C56" s="99"/>
      <c r="D56" s="99"/>
      <c r="E56" s="99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</row>
    <row r="57" spans="1:22" x14ac:dyDescent="0.2">
      <c r="A57" s="112"/>
      <c r="B57" s="99"/>
      <c r="C57" s="99"/>
      <c r="D57" s="99"/>
      <c r="E57" s="99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</row>
    <row r="58" spans="1:22" x14ac:dyDescent="0.2">
      <c r="A58" s="112"/>
      <c r="B58" s="99"/>
      <c r="C58" s="99"/>
      <c r="D58" s="99"/>
      <c r="E58" s="99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</row>
    <row r="59" spans="1:22" x14ac:dyDescent="0.2">
      <c r="A59" s="123" t="s">
        <v>259</v>
      </c>
      <c r="B59" s="123"/>
      <c r="C59" s="123"/>
      <c r="D59" s="123"/>
      <c r="E59" s="123"/>
      <c r="F59" s="123"/>
      <c r="G59" s="123"/>
      <c r="H59" s="123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</row>
    <row r="60" spans="1:22" ht="85" x14ac:dyDescent="0.2">
      <c r="A60" s="117" t="s">
        <v>260</v>
      </c>
      <c r="B60" s="109"/>
      <c r="C60" s="109"/>
      <c r="D60" s="109"/>
      <c r="E60" s="109"/>
      <c r="F60" s="90"/>
      <c r="G60" s="90"/>
      <c r="H60" s="90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</row>
    <row r="61" spans="1:22" ht="68" x14ac:dyDescent="0.2">
      <c r="A61" s="117" t="s">
        <v>261</v>
      </c>
      <c r="B61" s="109"/>
      <c r="C61" s="109"/>
      <c r="D61" s="109"/>
      <c r="E61" s="109"/>
      <c r="F61" s="90"/>
      <c r="G61" s="90"/>
      <c r="H61" s="90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</row>
    <row r="62" spans="1:22" ht="51" x14ac:dyDescent="0.2">
      <c r="A62" s="117" t="s">
        <v>262</v>
      </c>
      <c r="B62" s="109"/>
      <c r="C62" s="109"/>
      <c r="D62" s="109"/>
      <c r="E62" s="109"/>
      <c r="F62" s="90"/>
      <c r="G62" s="90"/>
      <c r="H62" s="90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</row>
    <row r="63" spans="1:22" ht="51" x14ac:dyDescent="0.2">
      <c r="A63" s="117" t="s">
        <v>263</v>
      </c>
      <c r="B63" s="109"/>
      <c r="C63" s="109"/>
      <c r="D63" s="109"/>
      <c r="E63" s="109"/>
      <c r="F63" s="90"/>
      <c r="G63" s="90"/>
      <c r="H63" s="90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</row>
    <row r="64" spans="1:22" ht="68" x14ac:dyDescent="0.2">
      <c r="A64" s="117" t="s">
        <v>264</v>
      </c>
      <c r="B64" s="109"/>
      <c r="C64" s="109"/>
      <c r="D64" s="109"/>
      <c r="E64" s="109"/>
      <c r="F64" s="90"/>
      <c r="G64" s="90"/>
      <c r="H64" s="90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</row>
    <row r="65" spans="1:22" ht="51" x14ac:dyDescent="0.2">
      <c r="A65" s="117" t="s">
        <v>265</v>
      </c>
      <c r="B65" s="109"/>
      <c r="C65" s="109"/>
      <c r="D65" s="109"/>
      <c r="E65" s="109"/>
      <c r="F65" s="90"/>
      <c r="G65" s="90"/>
      <c r="H65" s="90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</row>
  </sheetData>
  <mergeCells count="4">
    <mergeCell ref="A1:H1"/>
    <mergeCell ref="A2:H2"/>
    <mergeCell ref="A3:H3"/>
    <mergeCell ref="A59:H5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4B665-B3EB-45D9-95A1-D13638DE09EB}">
  <dimension ref="A1:I19"/>
  <sheetViews>
    <sheetView workbookViewId="0">
      <selection sqref="A1:H1"/>
    </sheetView>
  </sheetViews>
  <sheetFormatPr baseColWidth="10" defaultColWidth="8.83203125" defaultRowHeight="16" x14ac:dyDescent="0.2"/>
  <cols>
    <col min="1" max="1" width="18.33203125" bestFit="1" customWidth="1"/>
    <col min="2" max="2" width="7.33203125" bestFit="1" customWidth="1"/>
    <col min="3" max="3" width="12.83203125" bestFit="1" customWidth="1"/>
    <col min="4" max="4" width="18.5" bestFit="1" customWidth="1"/>
    <col min="5" max="5" width="20" customWidth="1"/>
    <col min="6" max="6" width="17.6640625" bestFit="1" customWidth="1"/>
    <col min="7" max="7" width="12.33203125" bestFit="1" customWidth="1"/>
    <col min="8" max="8" width="16.83203125" bestFit="1" customWidth="1"/>
    <col min="9" max="9" width="10.33203125" bestFit="1" customWidth="1"/>
  </cols>
  <sheetData>
    <row r="1" spans="1:9" ht="24" x14ac:dyDescent="0.3">
      <c r="A1" s="267" t="s">
        <v>277</v>
      </c>
      <c r="B1" s="262"/>
      <c r="C1" s="262"/>
      <c r="D1" s="262"/>
      <c r="E1" s="262"/>
      <c r="F1" s="262"/>
      <c r="G1" s="262"/>
      <c r="H1" s="262"/>
    </row>
    <row r="2" spans="1:9" x14ac:dyDescent="0.2">
      <c r="A2" s="268" t="s">
        <v>278</v>
      </c>
      <c r="B2" s="269"/>
      <c r="C2" s="269"/>
      <c r="D2" s="269"/>
      <c r="E2" s="269"/>
      <c r="F2" s="269"/>
      <c r="G2" s="269"/>
      <c r="H2" s="269"/>
    </row>
    <row r="4" spans="1:9" x14ac:dyDescent="0.2">
      <c r="A4" s="118" t="s">
        <v>215</v>
      </c>
      <c r="B4" s="118" t="s">
        <v>1</v>
      </c>
      <c r="C4" s="118" t="s">
        <v>216</v>
      </c>
      <c r="D4" s="118" t="s">
        <v>218</v>
      </c>
      <c r="F4" s="118" t="s">
        <v>238</v>
      </c>
      <c r="G4" s="118" t="s">
        <v>280</v>
      </c>
      <c r="H4" s="118" t="s">
        <v>240</v>
      </c>
      <c r="I4" s="118" t="s">
        <v>241</v>
      </c>
    </row>
    <row r="5" spans="1:9" ht="17" x14ac:dyDescent="0.2">
      <c r="A5" t="str">
        <f>'Audit Panel Report'!A8</f>
        <v>Receipts</v>
      </c>
      <c r="B5" s="119">
        <f>'Audit Panel Report'!B8</f>
        <v>95530</v>
      </c>
      <c r="C5" s="119">
        <f>'Audit Panel Report'!C8</f>
        <v>45867</v>
      </c>
      <c r="D5" s="119">
        <f>'Audit Panel Report'!E8</f>
        <v>183468</v>
      </c>
      <c r="F5" s="87" t="str">
        <f>'Audit Panel Report'!A22</f>
        <v>Total CIL monies</v>
      </c>
      <c r="G5" s="119">
        <f>'Audit Panel Report'!B22</f>
        <v>365033.39999999997</v>
      </c>
      <c r="H5" s="119">
        <f>'Audit Panel Report'!C22</f>
        <v>248467.65999999997</v>
      </c>
      <c r="I5" s="119">
        <f>'Audit Panel Report'!D22</f>
        <v>116565.73999999998</v>
      </c>
    </row>
    <row r="6" spans="1:9" ht="34" x14ac:dyDescent="0.2">
      <c r="A6" t="str">
        <f>'Audit Panel Report'!A9</f>
        <v>Payments</v>
      </c>
      <c r="B6" s="119">
        <f>'Audit Panel Report'!B9</f>
        <v>90600</v>
      </c>
      <c r="C6" s="119">
        <f>'Audit Panel Report'!C9</f>
        <v>25334</v>
      </c>
      <c r="D6" s="119">
        <f>'Audit Panel Report'!E9</f>
        <v>101336</v>
      </c>
      <c r="F6" s="87" t="str">
        <f>'Audit Panel Report'!A23</f>
        <v>Greenway CIL allocation</v>
      </c>
      <c r="G6" s="119">
        <f>'Audit Panel Report'!B23</f>
        <v>100000</v>
      </c>
      <c r="H6" s="119">
        <f>'Audit Panel Report'!C23</f>
        <v>24418.5</v>
      </c>
      <c r="I6" s="119">
        <f>'Audit Panel Report'!D23</f>
        <v>75581.5</v>
      </c>
    </row>
    <row r="7" spans="1:9" ht="34" x14ac:dyDescent="0.2">
      <c r="A7" t="str">
        <f>'Audit Panel Report'!A10</f>
        <v>Net surplus/(deficit)</v>
      </c>
      <c r="B7" s="119">
        <f>'Audit Panel Report'!B10</f>
        <v>4930</v>
      </c>
      <c r="C7" s="119">
        <f>'Audit Panel Report'!C10</f>
        <v>20533</v>
      </c>
      <c r="D7" s="119">
        <f>'Audit Panel Report'!E10</f>
        <v>82132</v>
      </c>
      <c r="F7" s="87" t="str">
        <f>'Audit Panel Report'!A24</f>
        <v>Traffic calming allocation</v>
      </c>
      <c r="G7" s="119">
        <f>'Audit Panel Report'!B24</f>
        <v>100000</v>
      </c>
      <c r="H7" s="119">
        <f>'Audit Panel Report'!C24</f>
        <v>63409.95</v>
      </c>
      <c r="I7" s="119">
        <f>'Audit Panel Report'!D24</f>
        <v>36590.050000000003</v>
      </c>
    </row>
    <row r="8" spans="1:9" ht="17" x14ac:dyDescent="0.2">
      <c r="F8" s="87" t="str">
        <f>'Audit Panel Report'!A25</f>
        <v>General CIL balance</v>
      </c>
      <c r="G8" s="119">
        <f>'Audit Panel Report'!B25</f>
        <v>165033.39999999997</v>
      </c>
      <c r="H8" s="119">
        <f>'Audit Panel Report'!C25</f>
        <v>160639.21</v>
      </c>
      <c r="I8" s="119">
        <f>'Audit Panel Report'!D25</f>
        <v>4394.1899999999732</v>
      </c>
    </row>
    <row r="9" spans="1:9" ht="34" x14ac:dyDescent="0.2">
      <c r="F9" s="87" t="str">
        <f>'Audit Panel Report'!A26</f>
        <v>Greenway grant funding</v>
      </c>
      <c r="G9" s="119">
        <f>'Audit Panel Report'!B26</f>
        <v>310369</v>
      </c>
      <c r="H9" s="119">
        <f>'Audit Panel Report'!C26</f>
        <v>32450.440000000002</v>
      </c>
      <c r="I9" s="119">
        <f>'Audit Panel Report'!D26</f>
        <v>277918.56</v>
      </c>
    </row>
    <row r="11" spans="1:9" x14ac:dyDescent="0.2">
      <c r="A11" s="118" t="s">
        <v>279</v>
      </c>
      <c r="B11" s="118" t="s">
        <v>1</v>
      </c>
      <c r="C11" s="118" t="s">
        <v>216</v>
      </c>
      <c r="D11" s="118" t="s">
        <v>255</v>
      </c>
    </row>
    <row r="12" spans="1:9" ht="17" x14ac:dyDescent="0.2">
      <c r="A12" s="87" t="str">
        <f>'Audit Panel Report'!A41</f>
        <v>Light Maintenance</v>
      </c>
      <c r="B12" s="119">
        <f>'Audit Panel Report'!B41</f>
        <v>150</v>
      </c>
      <c r="C12" s="119">
        <f>'Audit Panel Report'!C41</f>
        <v>873</v>
      </c>
      <c r="D12" s="119">
        <f>'Audit Panel Report'!F41</f>
        <v>3342</v>
      </c>
      <c r="F12" s="118" t="s">
        <v>267</v>
      </c>
      <c r="G12" s="118" t="s">
        <v>268</v>
      </c>
      <c r="H12" s="118" t="s">
        <v>269</v>
      </c>
      <c r="I12" s="118" t="s">
        <v>270</v>
      </c>
    </row>
    <row r="13" spans="1:9" ht="17" x14ac:dyDescent="0.2">
      <c r="A13" s="87" t="str">
        <f>'Audit Panel Report'!A52</f>
        <v>Insurance</v>
      </c>
      <c r="B13" s="119">
        <f>'Audit Panel Report'!B52</f>
        <v>1750</v>
      </c>
      <c r="C13" s="119">
        <f>'Audit Panel Report'!C52</f>
        <v>1896</v>
      </c>
      <c r="D13" s="119">
        <f>'Audit Panel Report'!F52</f>
        <v>5834</v>
      </c>
      <c r="F13" t="str">
        <f>'Audit Panel Report'!R22</f>
        <v>20/21</v>
      </c>
      <c r="G13" s="119">
        <f>'Audit Panel Report'!S22</f>
        <v>0</v>
      </c>
      <c r="H13" s="119">
        <f>'Audit Panel Report'!T22</f>
        <v>1200</v>
      </c>
      <c r="I13" s="119">
        <f>'Audit Panel Report'!U22</f>
        <v>0</v>
      </c>
    </row>
    <row r="14" spans="1:9" ht="17" x14ac:dyDescent="0.2">
      <c r="A14" s="87" t="str">
        <f>'Audit Panel Report'!A40</f>
        <v>Playing Field</v>
      </c>
      <c r="B14" s="119">
        <f>'Audit Panel Report'!B40</f>
        <v>4000</v>
      </c>
      <c r="C14" s="119">
        <f>'Audit Panel Report'!C40</f>
        <v>2848</v>
      </c>
      <c r="D14" s="119">
        <f>'Audit Panel Report'!F40</f>
        <v>7392</v>
      </c>
      <c r="F14" t="str">
        <f>'Audit Panel Report'!R23</f>
        <v>21/22</v>
      </c>
      <c r="G14" s="119">
        <f>'Audit Panel Report'!S23</f>
        <v>1048</v>
      </c>
      <c r="H14" s="119">
        <f>'Audit Panel Report'!T23</f>
        <v>3370.95</v>
      </c>
      <c r="I14" s="119">
        <f>'Audit Panel Report'!U23</f>
        <v>0</v>
      </c>
    </row>
    <row r="15" spans="1:9" ht="34" x14ac:dyDescent="0.2">
      <c r="A15" s="87" t="str">
        <f>'Audit Panel Report'!A37</f>
        <v>Planter &amp; Misc Landscape</v>
      </c>
      <c r="B15" s="119">
        <f>'Audit Panel Report'!B37</f>
        <v>9000</v>
      </c>
      <c r="C15" s="119">
        <f>'Audit Panel Report'!C37</f>
        <v>3520</v>
      </c>
      <c r="D15" s="119">
        <f>'Audit Panel Report'!F37</f>
        <v>5080</v>
      </c>
      <c r="F15" t="str">
        <f>'Audit Panel Report'!R24</f>
        <v>22/23</v>
      </c>
      <c r="G15" s="119">
        <f>'Audit Panel Report'!S24</f>
        <v>3170</v>
      </c>
      <c r="H15" s="119">
        <f>'Audit Panel Report'!T24</f>
        <v>9500</v>
      </c>
      <c r="I15" s="119">
        <f>'Audit Panel Report'!U24</f>
        <v>0</v>
      </c>
    </row>
    <row r="16" spans="1:9" ht="34" x14ac:dyDescent="0.2">
      <c r="A16" s="87" t="str">
        <f>'Audit Panel Report'!A33</f>
        <v>Administration/Subs &amp; Fees</v>
      </c>
      <c r="B16" s="119">
        <f>'Audit Panel Report'!B33</f>
        <v>6000</v>
      </c>
      <c r="C16" s="119">
        <f>'Audit Panel Report'!C33</f>
        <v>2606</v>
      </c>
      <c r="D16" s="119">
        <f>'Audit Panel Report'!F33</f>
        <v>4424</v>
      </c>
      <c r="F16" t="str">
        <f>'Audit Panel Report'!R25</f>
        <v>23/24</v>
      </c>
      <c r="G16" s="119">
        <f>'Audit Panel Report'!S25</f>
        <v>12106.5</v>
      </c>
      <c r="H16" s="119">
        <f>'Audit Panel Report'!T25</f>
        <v>0</v>
      </c>
      <c r="I16" s="119">
        <f>'Audit Panel Report'!U25</f>
        <v>16471.919999999998</v>
      </c>
    </row>
    <row r="17" spans="1:9" ht="17" x14ac:dyDescent="0.2">
      <c r="A17" s="87" t="str">
        <f>'Audit Panel Report'!A36</f>
        <v>Amenity</v>
      </c>
      <c r="B17" s="119">
        <f>'Audit Panel Report'!B36</f>
        <v>11000</v>
      </c>
      <c r="C17" s="119">
        <f>'Audit Panel Report'!C36</f>
        <v>3637</v>
      </c>
      <c r="D17" s="119">
        <f>'Audit Panel Report'!F36</f>
        <v>3548</v>
      </c>
      <c r="F17" t="str">
        <f>'Audit Panel Report'!R26</f>
        <v>24/25</v>
      </c>
      <c r="G17" s="119">
        <f>'Audit Panel Report'!S26</f>
        <v>8094</v>
      </c>
      <c r="H17" s="119">
        <f>'Audit Panel Report'!T26</f>
        <v>49339</v>
      </c>
      <c r="I17" s="119">
        <f>'Audit Panel Report'!U26</f>
        <v>71689.11</v>
      </c>
    </row>
    <row r="18" spans="1:9" ht="17" x14ac:dyDescent="0.2">
      <c r="A18" s="87" t="str">
        <f>'Audit Panel Report'!A48</f>
        <v>Warm Hub</v>
      </c>
      <c r="B18" s="119">
        <f>'Audit Panel Report'!B48</f>
        <v>4000</v>
      </c>
      <c r="C18" s="119">
        <f>'Audit Panel Report'!C48</f>
        <v>1663</v>
      </c>
      <c r="D18" s="119">
        <f>'Audit Panel Report'!F48</f>
        <v>2652</v>
      </c>
      <c r="F18" t="str">
        <f>'Audit Panel Report'!R27</f>
        <v>25/26</v>
      </c>
      <c r="G18" s="119">
        <f>'Audit Panel Report'!S27</f>
        <v>0</v>
      </c>
      <c r="H18" s="119">
        <f>'Audit Panel Report'!T27</f>
        <v>0</v>
      </c>
      <c r="I18" s="119">
        <f>'Audit Panel Report'!U27</f>
        <v>53786.339999999989</v>
      </c>
    </row>
    <row r="19" spans="1:9" x14ac:dyDescent="0.2">
      <c r="F19" t="str">
        <f>'Audit Panel Report'!R28</f>
        <v>26/27 to date</v>
      </c>
      <c r="G19" s="119">
        <f>'Audit Panel Report'!S28</f>
        <v>0</v>
      </c>
      <c r="H19" s="119">
        <f>'Audit Panel Report'!T28</f>
        <v>0</v>
      </c>
      <c r="I19" s="119">
        <f>'Audit Panel Report'!U28</f>
        <v>18691.839999999997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Budget</vt:lpstr>
      <vt:lpstr>CIL</vt:lpstr>
      <vt:lpstr>Greenway</vt:lpstr>
      <vt:lpstr>Audit Panel Report</vt:lpstr>
      <vt:lpstr>Visual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Bowles</dc:creator>
  <cp:keywords/>
  <dc:description/>
  <cp:lastModifiedBy>Donna Bowles</cp:lastModifiedBy>
  <cp:revision/>
  <cp:lastPrinted>2025-12-01T11:34:57Z</cp:lastPrinted>
  <dcterms:created xsi:type="dcterms:W3CDTF">2023-10-24T12:10:37Z</dcterms:created>
  <dcterms:modified xsi:type="dcterms:W3CDTF">2026-07-08T08:48:06Z</dcterms:modified>
  <cp:category/>
  <cp:contentStatus/>
</cp:coreProperties>
</file>